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20" yWindow="1260" windowWidth="16720" windowHeight="12880" tabRatio="50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Lookup">'8'!$B$6:$C$10</definedName>
  </definedNames>
  <calcPr fullCalcOnLoad="1"/>
</workbook>
</file>

<file path=xl/sharedStrings.xml><?xml version="1.0" encoding="utf-8"?>
<sst xmlns="http://schemas.openxmlformats.org/spreadsheetml/2006/main" count="229" uniqueCount="165">
  <si>
    <t>The payoff table is for costs !!!</t>
  </si>
  <si>
    <t>Smaller is better !!!</t>
  </si>
  <si>
    <t>Hurwicz</t>
  </si>
  <si>
    <t>Laplace</t>
  </si>
  <si>
    <t>Market Conditions</t>
  </si>
  <si>
    <t>Favorable</t>
  </si>
  <si>
    <t>Stable</t>
  </si>
  <si>
    <t>Unfavorable</t>
  </si>
  <si>
    <t>EV</t>
  </si>
  <si>
    <t>Widget</t>
  </si>
  <si>
    <t>Hummer</t>
  </si>
  <si>
    <t>Nimnot</t>
  </si>
  <si>
    <t>EVPI =</t>
  </si>
  <si>
    <t>North</t>
  </si>
  <si>
    <t>Central</t>
  </si>
  <si>
    <t>South</t>
  </si>
  <si>
    <t>P(District|Pass)</t>
  </si>
  <si>
    <t>P(District|Fail)</t>
  </si>
  <si>
    <t>P(Fail|District)</t>
  </si>
  <si>
    <t>P(Pass|District)</t>
  </si>
  <si>
    <t>Joint Probabilities</t>
  </si>
  <si>
    <t>Conditional Probabilities, w/Result = Condition</t>
  </si>
  <si>
    <t>Conditional Probabilities, w/District = Dondition</t>
  </si>
  <si>
    <t>We've used this
property to infer
P(r|D) in the tree</t>
  </si>
  <si>
    <t>Problem 7</t>
  </si>
  <si>
    <t>Expected</t>
  </si>
  <si>
    <t>Opportunity</t>
  </si>
  <si>
    <t>Loss</t>
  </si>
  <si>
    <t>Perfect choice:</t>
  </si>
  <si>
    <t>EV with perfect information</t>
  </si>
  <si>
    <t>Simulation:</t>
  </si>
  <si>
    <t>P(x)</t>
  </si>
  <si>
    <t>P(Pass|North) =</t>
  </si>
  <si>
    <t>P(Fail|North) =</t>
  </si>
  <si>
    <t>P(Pass|South)</t>
  </si>
  <si>
    <t>P(Fail|South) =</t>
  </si>
  <si>
    <t>P(Pass|Central) =</t>
  </si>
  <si>
    <t xml:space="preserve">P(Fail|Central) = </t>
  </si>
  <si>
    <t>joint probabilities</t>
  </si>
  <si>
    <t>conditional probabilities
with district = condition</t>
  </si>
  <si>
    <t>Cumulative</t>
  </si>
  <si>
    <t>Time (mins)</t>
  </si>
  <si>
    <t>RN</t>
  </si>
  <si>
    <t>Number</t>
  </si>
  <si>
    <t>Clock</t>
  </si>
  <si>
    <r>
      <t xml:space="preserve">   Average Time (a) =</t>
    </r>
    <r>
      <rPr>
        <sz val="9"/>
        <rFont val="Geneva"/>
        <family val="0"/>
      </rPr>
      <t xml:space="preserve"> </t>
    </r>
  </si>
  <si>
    <t xml:space="preserve">                   Average Time (b) =</t>
  </si>
  <si>
    <t>Total</t>
  </si>
  <si>
    <t>Problem 8</t>
  </si>
  <si>
    <t>Probability of Time Between Arrival of Cars:</t>
  </si>
  <si>
    <t>Exponentially</t>
  </si>
  <si>
    <t xml:space="preserve">Adjusted </t>
  </si>
  <si>
    <t>Smoothed</t>
  </si>
  <si>
    <t>Month</t>
  </si>
  <si>
    <t>Demand</t>
  </si>
  <si>
    <t>Forecast</t>
  </si>
  <si>
    <t>Error</t>
  </si>
  <si>
    <t>Trend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</si>
  <si>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</si>
  <si>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</si>
  <si>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</si>
  <si>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</si>
  <si>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</si>
  <si>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</si>
  <si>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</si>
  <si>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</si>
  <si>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</si>
  <si>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</si>
  <si>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</si>
  <si>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Problem 9</t>
  </si>
  <si>
    <t>Absolute</t>
  </si>
  <si>
    <t>factor</t>
  </si>
  <si>
    <t>MAD</t>
  </si>
  <si>
    <t>MAPD</t>
  </si>
  <si>
    <t>AES</t>
  </si>
  <si>
    <t>ES</t>
  </si>
  <si>
    <t>d.</t>
  </si>
  <si>
    <t>x-bar=</t>
  </si>
  <si>
    <t>t</t>
  </si>
  <si>
    <t>y-bar=</t>
  </si>
  <si>
    <t>n=</t>
  </si>
  <si>
    <r>
      <t>S</t>
    </r>
    <r>
      <rPr>
        <sz val="9"/>
        <rFont val="Geneva"/>
        <family val="0"/>
      </rPr>
      <t>xy=</t>
    </r>
  </si>
  <si>
    <r>
      <t>S</t>
    </r>
    <r>
      <rPr>
        <sz val="9"/>
        <rFont val="Geneva"/>
        <family val="0"/>
      </rPr>
      <t>xx=</t>
    </r>
  </si>
  <si>
    <t>a=</t>
  </si>
  <si>
    <t>b=</t>
  </si>
  <si>
    <t>Problem 1</t>
  </si>
  <si>
    <t>a.</t>
  </si>
  <si>
    <t>cf=</t>
  </si>
  <si>
    <t>cv=</t>
  </si>
  <si>
    <t>p=</t>
  </si>
  <si>
    <t>Z=</t>
  </si>
  <si>
    <t>(Break-even)</t>
  </si>
  <si>
    <t>v=</t>
  </si>
  <si>
    <t>b.</t>
  </si>
  <si>
    <t>c.</t>
  </si>
  <si>
    <t>1st 30 days, 20 pizzas a day</t>
  </si>
  <si>
    <t>cf'=</t>
  </si>
  <si>
    <t>v'=</t>
  </si>
  <si>
    <t>p'=</t>
  </si>
  <si>
    <t>1st 30 days' profit</t>
  </si>
  <si>
    <t>Remaining profit to make</t>
  </si>
  <si>
    <t>new price</t>
  </si>
  <si>
    <t>v0=</t>
  </si>
  <si>
    <t>v0+v'=</t>
  </si>
  <si>
    <t>time=</t>
  </si>
  <si>
    <t>months</t>
  </si>
  <si>
    <t>Problem 2</t>
  </si>
  <si>
    <t>One prod.:</t>
  </si>
  <si>
    <t>Maximize Z = 15 x</t>
  </si>
  <si>
    <t>subject to</t>
  </si>
  <si>
    <t>4 x = 100</t>
  </si>
  <si>
    <t>=&gt;</t>
  </si>
  <si>
    <t>x=</t>
  </si>
  <si>
    <t>Two prod's:</t>
  </si>
  <si>
    <t>Maximize Z = 15 x + 10 y</t>
  </si>
  <si>
    <t>4 x + 3 y = 120</t>
  </si>
  <si>
    <t>There are 2 extremes:</t>
  </si>
  <si>
    <t>y=</t>
  </si>
  <si>
    <t>or</t>
  </si>
  <si>
    <t>Select</t>
  </si>
  <si>
    <t>Problem 3</t>
  </si>
  <si>
    <t>p =</t>
  </si>
  <si>
    <t>0.20</t>
  </si>
  <si>
    <t>n =</t>
  </si>
  <si>
    <t>r</t>
  </si>
  <si>
    <t>P(r=defectives)</t>
  </si>
  <si>
    <t>P(r&lt;3) =</t>
  </si>
  <si>
    <t>P(r&gt;=3) =</t>
  </si>
  <si>
    <t>Binomial distribution</t>
  </si>
  <si>
    <t>(1-p) =</t>
  </si>
  <si>
    <t>P(Pass &amp; North) =</t>
  </si>
  <si>
    <t>P(North) =</t>
  </si>
  <si>
    <t>P(Fail &amp; North) =</t>
  </si>
  <si>
    <t>P(Pass and South) =</t>
  </si>
  <si>
    <t>P(South) =</t>
  </si>
  <si>
    <t>P(Fail &amp; South) =</t>
  </si>
  <si>
    <t>P(Pass &amp; Central) =</t>
  </si>
  <si>
    <t>P(Central) =</t>
  </si>
  <si>
    <t>P(Fail &amp; Central) =</t>
  </si>
  <si>
    <t>Problem 4</t>
  </si>
  <si>
    <t>Mean =</t>
  </si>
  <si>
    <t>Standard deviation =</t>
  </si>
  <si>
    <t>X =</t>
  </si>
  <si>
    <t xml:space="preserve">Z = </t>
  </si>
  <si>
    <t xml:space="preserve">Normal table value = </t>
  </si>
  <si>
    <t xml:space="preserve">P(X&gt;= 400) = </t>
  </si>
  <si>
    <t>Problem 5</t>
  </si>
  <si>
    <t>Normal Distribution</t>
  </si>
  <si>
    <r>
      <t>m</t>
    </r>
    <r>
      <rPr>
        <sz val="9"/>
        <rFont val="Geneva"/>
        <family val="0"/>
      </rPr>
      <t>=550</t>
    </r>
  </si>
  <si>
    <r>
      <t>s</t>
    </r>
    <r>
      <rPr>
        <sz val="9"/>
        <rFont val="Geneva"/>
        <family val="0"/>
      </rPr>
      <t>=75</t>
    </r>
  </si>
  <si>
    <t>z=</t>
  </si>
  <si>
    <t>Contract Outcome</t>
  </si>
  <si>
    <t>Product</t>
  </si>
  <si>
    <t>Pass</t>
  </si>
  <si>
    <t>Fail</t>
  </si>
  <si>
    <t>Maximum</t>
  </si>
  <si>
    <t>Minimum</t>
  </si>
  <si>
    <t>(a)</t>
  </si>
  <si>
    <t>(b)</t>
  </si>
  <si>
    <t>Problem 6</t>
  </si>
  <si>
    <t>Regret Table</t>
  </si>
  <si>
    <t>Maximal regret</t>
  </si>
  <si>
    <t>Optimist</t>
  </si>
  <si>
    <t>Conserv.</t>
  </si>
  <si>
    <t>Regret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</si>
</sst>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0.000E+00"/>
    <numFmt numFmtId="168" formatCode="0.000"/>
    <numFmt numFmtId="169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i/>
      <sz val="10"/>
      <name val="Arial"/>
      <family val="2"/>
    </font>
    <font>
      <sz val="10"/>
      <name val="Arial"/>
      <family val="2"/>
    </font>
    <font>
      <sz val="9"/>
      <name val="Symbol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1" xfId="0" applyNumberFormat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9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2" fontId="9" fillId="2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69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>
      <alignment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1" fontId="0" fillId="0" borderId="5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0" fontId="1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9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10" fontId="1" fillId="0" borderId="1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10" fontId="1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10" fontId="1" fillId="0" borderId="14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0" fontId="0" fillId="0" borderId="4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7" xfId="0" applyBorder="1" applyAlignment="1">
      <alignment horizontal="right"/>
    </xf>
    <xf numFmtId="10" fontId="1" fillId="0" borderId="4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0" fillId="0" borderId="0" xfId="0" applyAlignment="1">
      <alignment/>
    </xf>
    <xf numFmtId="0" fontId="11" fillId="2" borderId="16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2" borderId="16" xfId="0" applyFont="1" applyFill="1" applyBorder="1" applyAlignment="1">
      <alignment horizontal="right"/>
    </xf>
    <xf numFmtId="10" fontId="1" fillId="2" borderId="17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9!$A$6:$A$15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9!$C$6:$C$15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032407"/>
        <c:axId val="54291664"/>
      </c:scatterChart>
      <c:valAx>
        <c:axId val="6032407"/>
        <c:scaling>
          <c:orientation val="minMax"/>
          <c:max val="10"/>
          <c:min val="1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crossBetween val="midCat"/>
        <c:dispUnits/>
        <c:majorUnit val="3"/>
        <c:minorUnit val="1"/>
      </c:valAx>
      <c:valAx>
        <c:axId val="54291664"/>
        <c:scaling>
          <c:orientation val="minMax"/>
          <c:max val="1300"/>
          <c:min val="4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32407"/>
        <c:crosses val="autoZero"/>
        <c:crossBetween val="midCat"/>
        <c:dispUnits/>
        <c:majorUnit val="4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152400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066925" y="609600"/>
          <a:ext cx="676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057400" y="9429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057400" y="28479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4</xdr:col>
      <xdr:colOff>0</xdr:colOff>
      <xdr:row>19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066925" y="3171825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76200</xdr:rowOff>
    </xdr:from>
    <xdr:to>
      <xdr:col>8</xdr:col>
      <xdr:colOff>0</xdr:colOff>
      <xdr:row>2</xdr:row>
      <xdr:rowOff>76200</xdr:rowOff>
    </xdr:to>
    <xdr:sp>
      <xdr:nvSpPr>
        <xdr:cNvPr id="5" name="Line 5"/>
        <xdr:cNvSpPr>
          <a:spLocks/>
        </xdr:cNvSpPr>
      </xdr:nvSpPr>
      <xdr:spPr>
        <a:xfrm>
          <a:off x="4800600" y="533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47625</xdr:rowOff>
    </xdr:from>
    <xdr:to>
      <xdr:col>8</xdr:col>
      <xdr:colOff>0</xdr:colOff>
      <xdr:row>20</xdr:row>
      <xdr:rowOff>47625</xdr:rowOff>
    </xdr:to>
    <xdr:sp>
      <xdr:nvSpPr>
        <xdr:cNvPr id="6" name="Line 6"/>
        <xdr:cNvSpPr>
          <a:spLocks/>
        </xdr:cNvSpPr>
      </xdr:nvSpPr>
      <xdr:spPr>
        <a:xfrm>
          <a:off x="4800600" y="3381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0</xdr:colOff>
      <xdr:row>16</xdr:row>
      <xdr:rowOff>76200</xdr:rowOff>
    </xdr:to>
    <xdr:sp>
      <xdr:nvSpPr>
        <xdr:cNvPr id="7" name="Line 7"/>
        <xdr:cNvSpPr>
          <a:spLocks/>
        </xdr:cNvSpPr>
      </xdr:nvSpPr>
      <xdr:spPr>
        <a:xfrm>
          <a:off x="4800600" y="2762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8</xdr:col>
      <xdr:colOff>0</xdr:colOff>
      <xdr:row>6</xdr:row>
      <xdr:rowOff>76200</xdr:rowOff>
    </xdr:to>
    <xdr:sp>
      <xdr:nvSpPr>
        <xdr:cNvPr id="8" name="Line 8"/>
        <xdr:cNvSpPr>
          <a:spLocks/>
        </xdr:cNvSpPr>
      </xdr:nvSpPr>
      <xdr:spPr>
        <a:xfrm>
          <a:off x="4800600" y="1181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47625</xdr:rowOff>
    </xdr:from>
    <xdr:to>
      <xdr:col>8</xdr:col>
      <xdr:colOff>0</xdr:colOff>
      <xdr:row>13</xdr:row>
      <xdr:rowOff>47625</xdr:rowOff>
    </xdr:to>
    <xdr:sp>
      <xdr:nvSpPr>
        <xdr:cNvPr id="9" name="Line 11"/>
        <xdr:cNvSpPr>
          <a:spLocks/>
        </xdr:cNvSpPr>
      </xdr:nvSpPr>
      <xdr:spPr>
        <a:xfrm>
          <a:off x="4800600" y="2266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8</xdr:col>
      <xdr:colOff>0</xdr:colOff>
      <xdr:row>9</xdr:row>
      <xdr:rowOff>76200</xdr:rowOff>
    </xdr:to>
    <xdr:sp>
      <xdr:nvSpPr>
        <xdr:cNvPr id="10" name="Line 12"/>
        <xdr:cNvSpPr>
          <a:spLocks/>
        </xdr:cNvSpPr>
      </xdr:nvSpPr>
      <xdr:spPr>
        <a:xfrm>
          <a:off x="4800600" y="1647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9525</xdr:rowOff>
    </xdr:to>
    <xdr:sp>
      <xdr:nvSpPr>
        <xdr:cNvPr id="11" name="Line 13"/>
        <xdr:cNvSpPr>
          <a:spLocks/>
        </xdr:cNvSpPr>
      </xdr:nvSpPr>
      <xdr:spPr>
        <a:xfrm flipV="1">
          <a:off x="2057400" y="17335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676275</xdr:colOff>
      <xdr:row>12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2066925" y="2057400"/>
          <a:ext cx="657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47625</xdr:rowOff>
    </xdr:from>
    <xdr:to>
      <xdr:col>8</xdr:col>
      <xdr:colOff>0</xdr:colOff>
      <xdr:row>13</xdr:row>
      <xdr:rowOff>47625</xdr:rowOff>
    </xdr:to>
    <xdr:sp>
      <xdr:nvSpPr>
        <xdr:cNvPr id="13" name="Line 15"/>
        <xdr:cNvSpPr>
          <a:spLocks/>
        </xdr:cNvSpPr>
      </xdr:nvSpPr>
      <xdr:spPr>
        <a:xfrm>
          <a:off x="4800600" y="2266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8</xdr:col>
      <xdr:colOff>0</xdr:colOff>
      <xdr:row>9</xdr:row>
      <xdr:rowOff>76200</xdr:rowOff>
    </xdr:to>
    <xdr:sp>
      <xdr:nvSpPr>
        <xdr:cNvPr id="14" name="Line 16"/>
        <xdr:cNvSpPr>
          <a:spLocks/>
        </xdr:cNvSpPr>
      </xdr:nvSpPr>
      <xdr:spPr>
        <a:xfrm>
          <a:off x="4800600" y="1647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295275</xdr:colOff>
      <xdr:row>3</xdr:row>
      <xdr:rowOff>38100</xdr:rowOff>
    </xdr:from>
    <xdr:to>
      <xdr:col>6</xdr:col>
      <xdr:colOff>295275</xdr:colOff>
      <xdr:row>6</xdr:row>
      <xdr:rowOff>0</xdr:rowOff>
    </xdr:to>
    <xdr:sp>
      <xdr:nvSpPr>
        <xdr:cNvPr id="15" name="Line 17"/>
        <xdr:cNvSpPr>
          <a:spLocks/>
        </xdr:cNvSpPr>
      </xdr:nvSpPr>
      <xdr:spPr>
        <a:xfrm flipV="1">
          <a:off x="4410075" y="657225"/>
          <a:ext cx="0" cy="447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295275</xdr:colOff>
      <xdr:row>17</xdr:row>
      <xdr:rowOff>28575</xdr:rowOff>
    </xdr:from>
    <xdr:to>
      <xdr:col>6</xdr:col>
      <xdr:colOff>295275</xdr:colOff>
      <xdr:row>19</xdr:row>
      <xdr:rowOff>152400</xdr:rowOff>
    </xdr:to>
    <xdr:sp>
      <xdr:nvSpPr>
        <xdr:cNvPr id="16" name="Line 18"/>
        <xdr:cNvSpPr>
          <a:spLocks/>
        </xdr:cNvSpPr>
      </xdr:nvSpPr>
      <xdr:spPr>
        <a:xfrm flipV="1">
          <a:off x="4410075" y="2876550"/>
          <a:ext cx="0" cy="447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304800</xdr:colOff>
      <xdr:row>10</xdr:row>
      <xdr:rowOff>28575</xdr:rowOff>
    </xdr:from>
    <xdr:to>
      <xdr:col>6</xdr:col>
      <xdr:colOff>304800</xdr:colOff>
      <xdr:row>12</xdr:row>
      <xdr:rowOff>152400</xdr:rowOff>
    </xdr:to>
    <xdr:sp>
      <xdr:nvSpPr>
        <xdr:cNvPr id="17" name="Line 19"/>
        <xdr:cNvSpPr>
          <a:spLocks/>
        </xdr:cNvSpPr>
      </xdr:nvSpPr>
      <xdr:spPr>
        <a:xfrm flipV="1">
          <a:off x="4419600" y="1762125"/>
          <a:ext cx="0" cy="447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28575</xdr:rowOff>
    </xdr:from>
    <xdr:to>
      <xdr:col>9</xdr:col>
      <xdr:colOff>276225</xdr:colOff>
      <xdr:row>34</xdr:row>
      <xdr:rowOff>123825</xdr:rowOff>
    </xdr:to>
    <xdr:sp>
      <xdr:nvSpPr>
        <xdr:cNvPr id="18" name="AutoShape 20"/>
        <xdr:cNvSpPr>
          <a:spLocks/>
        </xdr:cNvSpPr>
      </xdr:nvSpPr>
      <xdr:spPr>
        <a:xfrm>
          <a:off x="6248400" y="5276850"/>
          <a:ext cx="200025" cy="419100"/>
        </a:xfrm>
        <a:prstGeom prst="rightBrac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10</xdr:row>
      <xdr:rowOff>114300</xdr:rowOff>
    </xdr:from>
    <xdr:to>
      <xdr:col>6</xdr:col>
      <xdr:colOff>647700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14650" y="1704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142875</xdr:rowOff>
    </xdr:from>
    <xdr:to>
      <xdr:col>6</xdr:col>
      <xdr:colOff>447675</xdr:colOff>
      <xdr:row>10</xdr:row>
      <xdr:rowOff>28575</xdr:rowOff>
    </xdr:to>
    <xdr:sp>
      <xdr:nvSpPr>
        <xdr:cNvPr id="2" name="AutoShape 6"/>
        <xdr:cNvSpPr>
          <a:spLocks/>
        </xdr:cNvSpPr>
      </xdr:nvSpPr>
      <xdr:spPr>
        <a:xfrm>
          <a:off x="2914650" y="466725"/>
          <a:ext cx="2476500" cy="1152525"/>
        </a:xfrm>
        <a:custGeom>
          <a:pathLst>
            <a:path h="94" w="192">
              <a:moveTo>
                <a:pt x="0" y="93"/>
              </a:moveTo>
              <a:cubicBezTo>
                <a:pt x="7" y="92"/>
                <a:pt x="14" y="92"/>
                <a:pt x="29" y="77"/>
              </a:cubicBezTo>
              <a:cubicBezTo>
                <a:pt x="44" y="62"/>
                <a:pt x="70" y="0"/>
                <a:pt x="91" y="0"/>
              </a:cubicBezTo>
              <a:cubicBezTo>
                <a:pt x="112" y="0"/>
                <a:pt x="141" y="64"/>
                <a:pt x="158" y="79"/>
              </a:cubicBezTo>
              <a:cubicBezTo>
                <a:pt x="175" y="94"/>
                <a:pt x="186" y="88"/>
                <a:pt x="192" y="9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0</xdr:colOff>
      <xdr:row>12</xdr:row>
      <xdr:rowOff>9525</xdr:rowOff>
    </xdr:to>
    <xdr:sp>
      <xdr:nvSpPr>
        <xdr:cNvPr id="3" name="Line 7"/>
        <xdr:cNvSpPr>
          <a:spLocks/>
        </xdr:cNvSpPr>
      </xdr:nvSpPr>
      <xdr:spPr>
        <a:xfrm>
          <a:off x="4105275" y="3143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752475</xdr:colOff>
      <xdr:row>7</xdr:row>
      <xdr:rowOff>152400</xdr:rowOff>
    </xdr:from>
    <xdr:to>
      <xdr:col>3</xdr:col>
      <xdr:colOff>752475</xdr:colOff>
      <xdr:row>11</xdr:row>
      <xdr:rowOff>76200</xdr:rowOff>
    </xdr:to>
    <xdr:sp>
      <xdr:nvSpPr>
        <xdr:cNvPr id="4" name="Line 8"/>
        <xdr:cNvSpPr>
          <a:spLocks/>
        </xdr:cNvSpPr>
      </xdr:nvSpPr>
      <xdr:spPr>
        <a:xfrm>
          <a:off x="3181350" y="12668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18</xdr:row>
      <xdr:rowOff>114300</xdr:rowOff>
    </xdr:from>
    <xdr:to>
      <xdr:col>10</xdr:col>
      <xdr:colOff>1943100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4048125" y="3028950"/>
        <a:ext cx="4514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125" zoomScaleNormal="125" workbookViewId="0" topLeftCell="A1">
      <selection activeCell="F22" sqref="F22"/>
    </sheetView>
  </sheetViews>
  <sheetFormatPr defaultColWidth="11.00390625" defaultRowHeight="12"/>
  <cols>
    <col min="1" max="1" width="10.875" style="2" customWidth="1"/>
    <col min="2" max="2" width="5.50390625" style="2" customWidth="1"/>
    <col min="3" max="3" width="10.875" style="3" customWidth="1"/>
    <col min="4" max="4" width="10.875" style="5" customWidth="1"/>
  </cols>
  <sheetData>
    <row r="1" ht="12.75">
      <c r="A1" s="1" t="s">
        <v>85</v>
      </c>
    </row>
    <row r="3" spans="1:3" ht="12.75">
      <c r="A3" s="2" t="s">
        <v>86</v>
      </c>
      <c r="B3" s="2" t="s">
        <v>87</v>
      </c>
      <c r="C3" s="3">
        <v>27000</v>
      </c>
    </row>
    <row r="4" spans="2:3" ht="12.75">
      <c r="B4" s="2" t="s">
        <v>88</v>
      </c>
      <c r="C4" s="3">
        <v>3.65</v>
      </c>
    </row>
    <row r="5" spans="2:3" ht="12.75">
      <c r="B5" s="2" t="s">
        <v>89</v>
      </c>
      <c r="C5" s="3">
        <v>9</v>
      </c>
    </row>
    <row r="6" spans="2:4" ht="12.75">
      <c r="B6" s="2" t="s">
        <v>90</v>
      </c>
      <c r="C6" s="3">
        <v>0</v>
      </c>
      <c r="D6" s="5" t="s">
        <v>91</v>
      </c>
    </row>
    <row r="8" spans="2:4" ht="12.75">
      <c r="B8" s="2" t="s">
        <v>92</v>
      </c>
      <c r="C8" s="4">
        <f>C3/(C5-C4)</f>
        <v>5046.728971962617</v>
      </c>
      <c r="D8" s="5">
        <v>5047</v>
      </c>
    </row>
    <row r="10" spans="1:4" ht="12.75">
      <c r="A10" s="2" t="s">
        <v>93</v>
      </c>
      <c r="B10" s="2" t="s">
        <v>104</v>
      </c>
      <c r="C10" s="4">
        <f>D8/20</f>
        <v>252.35</v>
      </c>
      <c r="D10" s="5">
        <v>253</v>
      </c>
    </row>
    <row r="12" spans="1:4" ht="12.75">
      <c r="A12" s="2" t="s">
        <v>94</v>
      </c>
      <c r="B12" s="2" t="s">
        <v>102</v>
      </c>
      <c r="C12" s="4">
        <f>30*20</f>
        <v>600</v>
      </c>
      <c r="D12" s="5" t="s">
        <v>95</v>
      </c>
    </row>
    <row r="13" spans="3:4" ht="12.75">
      <c r="C13" s="3">
        <f>C12*(C5-C4)</f>
        <v>3210</v>
      </c>
      <c r="D13" s="5" t="s">
        <v>99</v>
      </c>
    </row>
    <row r="14" spans="2:4" ht="12.75">
      <c r="B14" s="2" t="s">
        <v>96</v>
      </c>
      <c r="C14" s="3">
        <f>C3-C13</f>
        <v>23790</v>
      </c>
      <c r="D14" s="5" t="s">
        <v>100</v>
      </c>
    </row>
    <row r="15" spans="2:4" ht="12.75">
      <c r="B15" s="2" t="s">
        <v>98</v>
      </c>
      <c r="C15" s="3">
        <v>8</v>
      </c>
      <c r="D15" s="5" t="s">
        <v>101</v>
      </c>
    </row>
    <row r="17" spans="2:4" ht="12.75">
      <c r="B17" s="2" t="s">
        <v>97</v>
      </c>
      <c r="C17" s="4">
        <f>C14/(C15-C4)</f>
        <v>5468.9655172413795</v>
      </c>
      <c r="D17" s="5">
        <v>5469</v>
      </c>
    </row>
    <row r="19" spans="2:4" ht="12.75">
      <c r="B19" s="2" t="s">
        <v>103</v>
      </c>
      <c r="C19" s="4">
        <f>C12+C17</f>
        <v>6068.9655172413795</v>
      </c>
      <c r="D19" s="5">
        <v>6069</v>
      </c>
    </row>
    <row r="21" spans="2:6" ht="12.75">
      <c r="B21" s="2" t="s">
        <v>104</v>
      </c>
      <c r="C21" s="4">
        <f>30+C17/20</f>
        <v>303.44827586206895</v>
      </c>
      <c r="D21" s="5">
        <v>304</v>
      </c>
      <c r="E21">
        <f>D21/12</f>
        <v>25.333333333333332</v>
      </c>
      <c r="F21" t="s">
        <v>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25" zoomScaleNormal="125" workbookViewId="0" topLeftCell="A1">
      <selection activeCell="F15" sqref="F15"/>
    </sheetView>
  </sheetViews>
  <sheetFormatPr defaultColWidth="11.00390625" defaultRowHeight="12"/>
  <cols>
    <col min="1" max="1" width="10.875" style="2" customWidth="1"/>
    <col min="2" max="2" width="13.125" style="6" customWidth="1"/>
    <col min="3" max="3" width="3.125" style="6" customWidth="1"/>
    <col min="4" max="4" width="3.375" style="0" customWidth="1"/>
    <col min="5" max="5" width="6.375" style="0" customWidth="1"/>
  </cols>
  <sheetData>
    <row r="1" ht="12.75">
      <c r="A1" s="1" t="s">
        <v>106</v>
      </c>
    </row>
    <row r="3" spans="1:2" ht="12.75">
      <c r="A3" s="2" t="s">
        <v>107</v>
      </c>
      <c r="B3" s="6" t="s">
        <v>108</v>
      </c>
    </row>
    <row r="4" ht="12.75">
      <c r="B4" s="6" t="s">
        <v>109</v>
      </c>
    </row>
    <row r="5" spans="2:5" ht="12.75">
      <c r="B5" s="6" t="s">
        <v>110</v>
      </c>
      <c r="C5" s="6" t="s">
        <v>111</v>
      </c>
      <c r="D5" t="s">
        <v>112</v>
      </c>
      <c r="E5">
        <f>100/4</f>
        <v>25</v>
      </c>
    </row>
    <row r="7" spans="4:5" ht="12.75">
      <c r="D7" t="s">
        <v>90</v>
      </c>
      <c r="E7" s="8">
        <f>15*E5</f>
        <v>375</v>
      </c>
    </row>
    <row r="9" spans="1:2" ht="12.75">
      <c r="A9" s="2" t="s">
        <v>113</v>
      </c>
      <c r="B9" s="6" t="s">
        <v>114</v>
      </c>
    </row>
    <row r="10" ht="12.75">
      <c r="B10" s="6" t="s">
        <v>109</v>
      </c>
    </row>
    <row r="11" ht="12.75">
      <c r="B11" s="6" t="s">
        <v>115</v>
      </c>
    </row>
    <row r="12" spans="2:5" ht="12.75">
      <c r="B12" s="6" t="s">
        <v>116</v>
      </c>
      <c r="D12" t="s">
        <v>112</v>
      </c>
      <c r="E12">
        <f>120/4</f>
        <v>30</v>
      </c>
    </row>
    <row r="13" spans="4:5" ht="12.75">
      <c r="D13" t="s">
        <v>117</v>
      </c>
      <c r="E13">
        <f>(120-4*E12)/3</f>
        <v>0</v>
      </c>
    </row>
    <row r="14" spans="4:6" ht="12.75">
      <c r="D14" t="s">
        <v>90</v>
      </c>
      <c r="E14" s="9">
        <f>15*E12+10*E13</f>
        <v>450</v>
      </c>
      <c r="F14" t="s">
        <v>119</v>
      </c>
    </row>
    <row r="16" spans="3:5" ht="12.75">
      <c r="C16" s="6" t="s">
        <v>118</v>
      </c>
      <c r="D16" t="s">
        <v>112</v>
      </c>
      <c r="E16">
        <v>0</v>
      </c>
    </row>
    <row r="17" spans="4:5" ht="12.75">
      <c r="D17" t="s">
        <v>117</v>
      </c>
      <c r="E17">
        <f>(120-4*E16)/3</f>
        <v>40</v>
      </c>
    </row>
    <row r="18" spans="4:5" ht="12.75">
      <c r="D18" t="s">
        <v>90</v>
      </c>
      <c r="E18" s="8">
        <f>15*E16+10*E17</f>
        <v>400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25" zoomScaleNormal="125" workbookViewId="0" topLeftCell="A1">
      <selection activeCell="D9" sqref="D9"/>
    </sheetView>
  </sheetViews>
  <sheetFormatPr defaultColWidth="11.00390625" defaultRowHeight="12"/>
  <cols>
    <col min="3" max="3" width="13.125" style="0" customWidth="1"/>
  </cols>
  <sheetData>
    <row r="1" ht="12.75">
      <c r="A1" s="10" t="s">
        <v>120</v>
      </c>
    </row>
    <row r="2" ht="12.75">
      <c r="B2" t="s">
        <v>128</v>
      </c>
    </row>
    <row r="9" spans="2:3" ht="12.75">
      <c r="B9" s="11" t="s">
        <v>121</v>
      </c>
      <c r="C9" s="12" t="s">
        <v>122</v>
      </c>
    </row>
    <row r="10" spans="2:3" ht="12.75">
      <c r="B10" s="11" t="s">
        <v>129</v>
      </c>
      <c r="C10" s="13">
        <f>1-C9</f>
        <v>0.8</v>
      </c>
    </row>
    <row r="11" spans="2:3" ht="12.75">
      <c r="B11" s="11" t="s">
        <v>123</v>
      </c>
      <c r="C11" s="14">
        <v>7</v>
      </c>
    </row>
    <row r="13" spans="2:3" ht="12.75">
      <c r="B13" s="15" t="s">
        <v>124</v>
      </c>
      <c r="C13" s="15" t="s">
        <v>125</v>
      </c>
    </row>
    <row r="14" spans="2:3" ht="12.75">
      <c r="B14" s="16">
        <v>0</v>
      </c>
      <c r="C14" s="17">
        <f>(((FACT(C11))*C9^B14*C10^(C11-B14))/((FACT(B14)*FACT(C11-B14))))</f>
        <v>0.20971520000000013</v>
      </c>
    </row>
    <row r="15" spans="2:6" ht="12.75">
      <c r="B15" s="18">
        <v>1</v>
      </c>
      <c r="C15" s="17">
        <f>(((FACT(C11))*C9^B15*C10^(C11-B15))/((FACT(B15)*FACT(C11-B15))))</f>
        <v>0.36700160000000026</v>
      </c>
      <c r="E15" s="11" t="s">
        <v>126</v>
      </c>
      <c r="F15" s="17">
        <f>C14+C15+C16</f>
        <v>0.8519680000000006</v>
      </c>
    </row>
    <row r="16" spans="2:6" ht="12.75">
      <c r="B16" s="18">
        <v>2</v>
      </c>
      <c r="C16" s="17">
        <f>(((FACT(C11))*C9^B16*C10^(C11-B16))/((FACT(B16)*FACT(C11-B16))))</f>
        <v>0.27525120000000025</v>
      </c>
      <c r="D16" s="19"/>
      <c r="E16" s="11" t="s">
        <v>127</v>
      </c>
      <c r="F16" s="17">
        <f>1-F15</f>
        <v>0.1480319999999994</v>
      </c>
    </row>
    <row r="17" spans="2:3" ht="12.75">
      <c r="B17" s="18">
        <v>3</v>
      </c>
      <c r="C17" s="17">
        <f>(((FACT(C11))*C9^B17*C10^(C11-B17))/((FACT(B17)*FACT(C11-B17))))</f>
        <v>0.11468800000000007</v>
      </c>
    </row>
    <row r="18" spans="2:3" ht="12.75">
      <c r="B18" s="18">
        <v>4</v>
      </c>
      <c r="C18" s="17">
        <f>(((FACT(C11))*C9^B18*C10^(C11-B18))/((FACT(B18)*FACT(C11-B18))))</f>
        <v>0.028672000000000017</v>
      </c>
    </row>
    <row r="19" spans="2:3" ht="12.75">
      <c r="B19" s="18">
        <v>5</v>
      </c>
      <c r="C19" s="17">
        <f>(((FACT(C11))*C9^B19*C10^(C11-B19))/((FACT(B19)*FACT(C11-B19))))</f>
        <v>0.004300800000000004</v>
      </c>
    </row>
    <row r="20" spans="2:3" ht="12.75">
      <c r="B20" s="20"/>
      <c r="C20" s="21"/>
    </row>
  </sheetData>
  <printOptions/>
  <pageMargins left="0.75" right="0.75" top="1" bottom="1" header="0.5" footer="0.5"/>
  <pageSetup orientation="portrait" paperSize="9"/>
  <legacyDrawing r:id="rId2"/>
  <oleObjects>
    <oleObject progId="Equation.3" shapeId="72360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25" zoomScaleNormal="125" workbookViewId="0" topLeftCell="A2">
      <selection activeCell="J36" sqref="J36"/>
    </sheetView>
  </sheetViews>
  <sheetFormatPr defaultColWidth="11.00390625" defaultRowHeight="12"/>
  <cols>
    <col min="1" max="2" width="9.00390625" style="0" customWidth="1"/>
    <col min="3" max="3" width="9.00390625" style="24" customWidth="1"/>
    <col min="4" max="6" width="9.00390625" style="0" customWidth="1"/>
    <col min="7" max="7" width="9.00390625" style="24" customWidth="1"/>
    <col min="8" max="10" width="9.00390625" style="0" customWidth="1"/>
    <col min="11" max="11" width="9.00390625" style="24" customWidth="1"/>
    <col min="12" max="16384" width="8.875" style="0" customWidth="1"/>
  </cols>
  <sheetData>
    <row r="1" spans="1:11" s="126" customFormat="1" ht="24" customHeight="1">
      <c r="A1" s="129" t="s">
        <v>139</v>
      </c>
      <c r="B1" s="129"/>
      <c r="C1" s="127"/>
      <c r="E1" s="128" t="s">
        <v>39</v>
      </c>
      <c r="F1" s="128"/>
      <c r="G1" s="128"/>
      <c r="I1" s="128" t="s">
        <v>38</v>
      </c>
      <c r="J1" s="128"/>
      <c r="K1" s="128"/>
    </row>
    <row r="3" spans="5:11" ht="12.75">
      <c r="E3" s="132" t="s">
        <v>32</v>
      </c>
      <c r="F3" s="132"/>
      <c r="G3" s="25">
        <f>1-G7</f>
        <v>0.9</v>
      </c>
      <c r="I3" s="130" t="s">
        <v>130</v>
      </c>
      <c r="J3" s="131"/>
      <c r="K3" s="25">
        <f>C5*G3</f>
        <v>0.27</v>
      </c>
    </row>
    <row r="4" spans="6:11" ht="12.75">
      <c r="F4" s="2"/>
      <c r="G4" s="165"/>
      <c r="K4" s="26"/>
    </row>
    <row r="5" spans="2:11" ht="12.75">
      <c r="B5" s="11" t="s">
        <v>131</v>
      </c>
      <c r="C5" s="27">
        <v>0.3</v>
      </c>
      <c r="D5" s="22"/>
      <c r="E5" s="22"/>
      <c r="F5" s="2"/>
      <c r="G5" s="166"/>
      <c r="K5" s="26"/>
    </row>
    <row r="6" spans="6:11" ht="12.75">
      <c r="F6" s="2"/>
      <c r="G6" s="167"/>
      <c r="J6" s="23"/>
      <c r="K6" s="26"/>
    </row>
    <row r="7" spans="5:11" ht="12.75">
      <c r="E7" s="132" t="s">
        <v>33</v>
      </c>
      <c r="F7" s="132"/>
      <c r="G7" s="27">
        <v>0.1</v>
      </c>
      <c r="I7" s="130" t="s">
        <v>132</v>
      </c>
      <c r="J7" s="131"/>
      <c r="K7" s="25">
        <f>C5*G7</f>
        <v>0.03</v>
      </c>
    </row>
    <row r="10" spans="5:11" ht="12.75">
      <c r="E10" s="132" t="s">
        <v>36</v>
      </c>
      <c r="F10" s="132"/>
      <c r="G10" s="25">
        <f>1-G14</f>
        <v>0.95</v>
      </c>
      <c r="I10" s="130" t="s">
        <v>136</v>
      </c>
      <c r="J10" s="131"/>
      <c r="K10" s="25">
        <f>C12*G10</f>
        <v>0.33249999999999996</v>
      </c>
    </row>
    <row r="11" spans="6:11" ht="12.75">
      <c r="F11" s="2"/>
      <c r="G11" s="165"/>
      <c r="K11" s="26"/>
    </row>
    <row r="12" spans="2:11" ht="12.75">
      <c r="B12" s="11" t="s">
        <v>137</v>
      </c>
      <c r="C12" s="27">
        <v>0.35</v>
      </c>
      <c r="D12" s="22"/>
      <c r="E12" s="22"/>
      <c r="F12" s="2"/>
      <c r="G12" s="166"/>
      <c r="K12" s="26"/>
    </row>
    <row r="13" spans="6:11" ht="12.75">
      <c r="F13" s="2"/>
      <c r="G13" s="167"/>
      <c r="J13" s="23"/>
      <c r="K13" s="26"/>
    </row>
    <row r="14" spans="5:11" ht="12.75">
      <c r="E14" s="130" t="s">
        <v>37</v>
      </c>
      <c r="F14" s="131"/>
      <c r="G14" s="27">
        <v>0.05</v>
      </c>
      <c r="I14" s="130" t="s">
        <v>138</v>
      </c>
      <c r="J14" s="131"/>
      <c r="K14" s="25">
        <f>C12*G14</f>
        <v>0.017499999999999998</v>
      </c>
    </row>
    <row r="17" spans="5:11" ht="12.75">
      <c r="E17" s="130" t="s">
        <v>34</v>
      </c>
      <c r="F17" s="131"/>
      <c r="G17" s="25">
        <f>1-G21</f>
        <v>0.85</v>
      </c>
      <c r="I17" s="130" t="s">
        <v>133</v>
      </c>
      <c r="J17" s="131"/>
      <c r="K17" s="25">
        <f>C19*G17</f>
        <v>0.2975</v>
      </c>
    </row>
    <row r="18" spans="6:11" ht="12.75">
      <c r="F18" s="2"/>
      <c r="G18" s="165"/>
      <c r="K18" s="26"/>
    </row>
    <row r="19" spans="2:11" ht="12.75">
      <c r="B19" s="11" t="s">
        <v>134</v>
      </c>
      <c r="C19" s="27">
        <v>0.35</v>
      </c>
      <c r="D19" s="22"/>
      <c r="E19" s="22"/>
      <c r="F19" s="2"/>
      <c r="G19" s="166"/>
      <c r="K19" s="26"/>
    </row>
    <row r="20" spans="6:11" ht="12.75">
      <c r="F20" s="2"/>
      <c r="G20" s="167"/>
      <c r="J20" s="23"/>
      <c r="K20" s="26"/>
    </row>
    <row r="21" spans="5:11" ht="12.75">
      <c r="E21" s="130" t="s">
        <v>35</v>
      </c>
      <c r="F21" s="131"/>
      <c r="G21" s="27">
        <v>0.15</v>
      </c>
      <c r="I21" s="130" t="s">
        <v>135</v>
      </c>
      <c r="J21" s="131"/>
      <c r="K21" s="25">
        <f>C19*G21</f>
        <v>0.0525</v>
      </c>
    </row>
    <row r="24" spans="1:9" ht="12.75">
      <c r="A24" s="168" t="s">
        <v>20</v>
      </c>
      <c r="B24" s="169"/>
      <c r="C24" s="169"/>
      <c r="D24" s="170"/>
      <c r="F24" s="168" t="s">
        <v>21</v>
      </c>
      <c r="G24" s="169"/>
      <c r="H24" s="169"/>
      <c r="I24" s="170"/>
    </row>
    <row r="25" spans="1:9" ht="12.75">
      <c r="A25" s="139"/>
      <c r="B25" s="140" t="s">
        <v>153</v>
      </c>
      <c r="C25" s="141" t="s">
        <v>154</v>
      </c>
      <c r="D25" s="142"/>
      <c r="F25" s="139"/>
      <c r="G25" s="157" t="s">
        <v>16</v>
      </c>
      <c r="H25" s="141" t="s">
        <v>17</v>
      </c>
      <c r="I25" s="142"/>
    </row>
    <row r="26" spans="1:9" ht="12.75">
      <c r="A26" s="143" t="s">
        <v>13</v>
      </c>
      <c r="B26" s="151">
        <f>K3</f>
        <v>0.27</v>
      </c>
      <c r="C26" s="148">
        <f>K7</f>
        <v>0.03</v>
      </c>
      <c r="D26" s="152">
        <f>SUM(B26:C26)</f>
        <v>0.30000000000000004</v>
      </c>
      <c r="F26" s="143" t="s">
        <v>13</v>
      </c>
      <c r="G26" s="158">
        <f>B26/B$29</f>
        <v>0.3</v>
      </c>
      <c r="H26" s="148">
        <f>C26/C$29</f>
        <v>0.3</v>
      </c>
      <c r="I26" s="144"/>
    </row>
    <row r="27" spans="1:9" ht="12.75">
      <c r="A27" s="143" t="s">
        <v>14</v>
      </c>
      <c r="B27" s="153">
        <f>K10</f>
        <v>0.33249999999999996</v>
      </c>
      <c r="C27" s="149">
        <f>K14</f>
        <v>0.017499999999999998</v>
      </c>
      <c r="D27" s="152">
        <f>SUM(B27:C27)</f>
        <v>0.35</v>
      </c>
      <c r="F27" s="143" t="s">
        <v>14</v>
      </c>
      <c r="G27" s="159">
        <f>B27/B$29</f>
        <v>0.3694444444444444</v>
      </c>
      <c r="H27" s="149">
        <f>C27/C$29</f>
        <v>0.17499999999999996</v>
      </c>
      <c r="I27" s="144"/>
    </row>
    <row r="28" spans="1:9" ht="12.75">
      <c r="A28" s="143" t="s">
        <v>15</v>
      </c>
      <c r="B28" s="154">
        <f>K17</f>
        <v>0.2975</v>
      </c>
      <c r="C28" s="150">
        <f>K21</f>
        <v>0.0525</v>
      </c>
      <c r="D28" s="152">
        <f>SUM(B28:C28)</f>
        <v>0.35</v>
      </c>
      <c r="F28" s="143" t="s">
        <v>15</v>
      </c>
      <c r="G28" s="160">
        <f>B28/B$29</f>
        <v>0.33055555555555555</v>
      </c>
      <c r="H28" s="150">
        <f>C28/C$29</f>
        <v>0.5249999999999999</v>
      </c>
      <c r="I28" s="144"/>
    </row>
    <row r="29" spans="1:9" ht="12.75">
      <c r="A29" s="145"/>
      <c r="B29" s="155">
        <f>SUM(B26:B28)</f>
        <v>0.9</v>
      </c>
      <c r="C29" s="155">
        <f>SUM(C26:C28)</f>
        <v>0.1</v>
      </c>
      <c r="D29" s="156">
        <f>SUM(B29:C29)</f>
        <v>1</v>
      </c>
      <c r="F29" s="145"/>
      <c r="G29" s="155">
        <f>SUM(G26:G28)</f>
        <v>1</v>
      </c>
      <c r="H29" s="146">
        <f>SUM(H26:H28)</f>
        <v>0.9999999999999999</v>
      </c>
      <c r="I29" s="147"/>
    </row>
    <row r="31" spans="6:9" ht="12.75">
      <c r="F31" s="168" t="s">
        <v>22</v>
      </c>
      <c r="G31" s="169"/>
      <c r="H31" s="169"/>
      <c r="I31" s="170"/>
    </row>
    <row r="32" spans="6:9" ht="12.75">
      <c r="F32" s="139"/>
      <c r="G32" s="157" t="s">
        <v>19</v>
      </c>
      <c r="H32" s="141" t="s">
        <v>18</v>
      </c>
      <c r="I32" s="142"/>
    </row>
    <row r="33" spans="6:11" ht="12.75">
      <c r="F33" s="143" t="s">
        <v>13</v>
      </c>
      <c r="G33" s="158">
        <f>G3</f>
        <v>0.9</v>
      </c>
      <c r="H33" s="148">
        <f>G7</f>
        <v>0.1</v>
      </c>
      <c r="I33" s="152">
        <f>SUM(G33:H33)</f>
        <v>1</v>
      </c>
      <c r="J33" s="162" t="s">
        <v>23</v>
      </c>
      <c r="K33" s="163"/>
    </row>
    <row r="34" spans="6:11" ht="12.75">
      <c r="F34" s="143" t="s">
        <v>14</v>
      </c>
      <c r="G34" s="159">
        <f>G10</f>
        <v>0.95</v>
      </c>
      <c r="H34" s="149">
        <f>G14</f>
        <v>0.05</v>
      </c>
      <c r="I34" s="152">
        <f>SUM(G34:H34)</f>
        <v>1</v>
      </c>
      <c r="J34" s="164"/>
      <c r="K34" s="163"/>
    </row>
    <row r="35" spans="6:11" ht="12.75">
      <c r="F35" s="143" t="s">
        <v>15</v>
      </c>
      <c r="G35" s="160">
        <f>G17</f>
        <v>0.85</v>
      </c>
      <c r="H35" s="150">
        <f>G21</f>
        <v>0.15</v>
      </c>
      <c r="I35" s="152">
        <f>SUM(G35:H35)</f>
        <v>1</v>
      </c>
      <c r="J35" s="164"/>
      <c r="K35" s="163"/>
    </row>
    <row r="36" spans="6:10" ht="12.75">
      <c r="F36" s="145"/>
      <c r="G36" s="155"/>
      <c r="H36" s="146"/>
      <c r="I36" s="147"/>
      <c r="J36" s="161"/>
    </row>
  </sheetData>
  <mergeCells count="22">
    <mergeCell ref="G18:G20"/>
    <mergeCell ref="A24:D24"/>
    <mergeCell ref="F24:I24"/>
    <mergeCell ref="F31:I31"/>
    <mergeCell ref="J33:K35"/>
    <mergeCell ref="E21:F21"/>
    <mergeCell ref="I3:J3"/>
    <mergeCell ref="I7:J7"/>
    <mergeCell ref="I10:J10"/>
    <mergeCell ref="I14:J14"/>
    <mergeCell ref="I17:J17"/>
    <mergeCell ref="I21:J21"/>
    <mergeCell ref="E3:F3"/>
    <mergeCell ref="E7:F7"/>
    <mergeCell ref="E10:F10"/>
    <mergeCell ref="I1:K1"/>
    <mergeCell ref="E1:G1"/>
    <mergeCell ref="A1:B1"/>
    <mergeCell ref="E17:F17"/>
    <mergeCell ref="E14:F14"/>
    <mergeCell ref="G4:G6"/>
    <mergeCell ref="G11:G1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125" zoomScaleNormal="125" workbookViewId="0" topLeftCell="A1">
      <selection activeCell="E15" sqref="E15"/>
    </sheetView>
  </sheetViews>
  <sheetFormatPr defaultColWidth="11.00390625" defaultRowHeight="12"/>
  <cols>
    <col min="2" max="2" width="9.875" style="0" customWidth="1"/>
  </cols>
  <sheetData>
    <row r="1" ht="12.75">
      <c r="A1" s="10" t="s">
        <v>146</v>
      </c>
    </row>
    <row r="2" ht="12.75">
      <c r="B2" t="s">
        <v>147</v>
      </c>
    </row>
    <row r="4" spans="2:3" ht="12.75">
      <c r="B4" s="11" t="s">
        <v>140</v>
      </c>
      <c r="C4" s="18">
        <v>550</v>
      </c>
    </row>
    <row r="5" spans="2:3" ht="12.75">
      <c r="B5" s="11" t="s">
        <v>141</v>
      </c>
      <c r="C5" s="18">
        <v>75</v>
      </c>
    </row>
    <row r="6" spans="2:3" ht="12.75">
      <c r="B6" s="11" t="s">
        <v>142</v>
      </c>
      <c r="C6" s="18">
        <v>400</v>
      </c>
    </row>
    <row r="8" spans="2:3" ht="12.75">
      <c r="B8" s="11" t="s">
        <v>143</v>
      </c>
      <c r="C8" s="18">
        <f>(C6-C4)/C5</f>
        <v>-2</v>
      </c>
    </row>
    <row r="10" spans="2:3" ht="12.75">
      <c r="B10" s="11" t="s">
        <v>144</v>
      </c>
      <c r="C10" s="18">
        <v>0.4772</v>
      </c>
    </row>
    <row r="11" spans="2:3" ht="12.75">
      <c r="B11" s="11" t="s">
        <v>145</v>
      </c>
      <c r="C11" s="30">
        <f>0.5+C10</f>
        <v>0.9772000000000001</v>
      </c>
    </row>
    <row r="12" spans="5:6" ht="13.5">
      <c r="E12" s="29">
        <v>400</v>
      </c>
      <c r="F12" s="28" t="s">
        <v>148</v>
      </c>
    </row>
    <row r="13" spans="4:6" ht="13.5">
      <c r="D13" s="2" t="s">
        <v>150</v>
      </c>
      <c r="E13" s="29">
        <v>-2</v>
      </c>
      <c r="F13" s="28" t="s">
        <v>149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="125" zoomScaleNormal="125" workbookViewId="0" topLeftCell="A1">
      <selection activeCell="E29" sqref="E29"/>
    </sheetView>
  </sheetViews>
  <sheetFormatPr defaultColWidth="11.00390625" defaultRowHeight="12"/>
  <cols>
    <col min="1" max="1" width="10.875" style="2" customWidth="1"/>
  </cols>
  <sheetData>
    <row r="1" spans="1:6" ht="12.75">
      <c r="A1" s="50" t="s">
        <v>159</v>
      </c>
      <c r="B1" s="50"/>
      <c r="C1" s="31"/>
      <c r="D1" s="31"/>
      <c r="E1" s="31"/>
      <c r="F1" s="31"/>
    </row>
    <row r="2" spans="1:6" ht="12.75">
      <c r="A2" s="50"/>
      <c r="B2" s="10" t="s">
        <v>0</v>
      </c>
      <c r="C2" s="31"/>
      <c r="D2" s="31"/>
      <c r="E2" s="31"/>
      <c r="F2" s="31"/>
    </row>
    <row r="3" spans="1:6" ht="12.75">
      <c r="A3" s="46"/>
      <c r="B3" s="31" t="s">
        <v>1</v>
      </c>
      <c r="C3" s="31"/>
      <c r="D3" s="31"/>
      <c r="E3" s="31"/>
      <c r="F3" s="31"/>
    </row>
    <row r="4" spans="1:6" ht="12.75">
      <c r="A4" s="46"/>
      <c r="B4" s="31"/>
      <c r="C4" s="31"/>
      <c r="D4" s="31"/>
      <c r="E4" s="31"/>
      <c r="F4" s="31"/>
    </row>
    <row r="5" spans="1:6" ht="12.75">
      <c r="A5" s="46"/>
      <c r="B5" s="32"/>
      <c r="C5" s="134" t="s">
        <v>151</v>
      </c>
      <c r="D5" s="135"/>
      <c r="E5" s="35" t="s">
        <v>162</v>
      </c>
      <c r="F5" s="32" t="s">
        <v>163</v>
      </c>
    </row>
    <row r="6" spans="1:6" ht="12.75">
      <c r="A6" s="46"/>
      <c r="B6" s="37" t="s">
        <v>152</v>
      </c>
      <c r="C6" s="38" t="s">
        <v>153</v>
      </c>
      <c r="D6" s="38" t="s">
        <v>154</v>
      </c>
      <c r="E6" s="40" t="s">
        <v>156</v>
      </c>
      <c r="F6" s="42" t="s">
        <v>155</v>
      </c>
    </row>
    <row r="7" spans="1:6" ht="12.75">
      <c r="A7" s="46"/>
      <c r="B7" s="16">
        <v>1</v>
      </c>
      <c r="C7" s="43">
        <v>7.5</v>
      </c>
      <c r="D7" s="43">
        <v>6</v>
      </c>
      <c r="E7" s="49">
        <f>MIN(C7:D7)</f>
        <v>6</v>
      </c>
      <c r="F7" s="49">
        <f>MAX(C7:D7)</f>
        <v>7.5</v>
      </c>
    </row>
    <row r="8" spans="1:6" ht="12.75">
      <c r="A8" s="46"/>
      <c r="B8" s="16">
        <v>2</v>
      </c>
      <c r="C8" s="43">
        <v>4</v>
      </c>
      <c r="D8" s="43">
        <v>7</v>
      </c>
      <c r="E8" s="49">
        <f>MIN(C8:D8)</f>
        <v>4</v>
      </c>
      <c r="F8" s="49">
        <f>MAX(C8:D8)</f>
        <v>7</v>
      </c>
    </row>
    <row r="9" spans="1:6" ht="12.75">
      <c r="A9" s="46"/>
      <c r="B9" s="16">
        <v>3</v>
      </c>
      <c r="C9" s="16">
        <v>6.5</v>
      </c>
      <c r="D9" s="43">
        <v>3</v>
      </c>
      <c r="E9" s="48">
        <f>MIN(C9:D9)</f>
        <v>3</v>
      </c>
      <c r="F9" s="48">
        <f>MAX(C9:D9)</f>
        <v>6.5</v>
      </c>
    </row>
    <row r="10" spans="1:6" ht="12.75">
      <c r="A10" s="46"/>
      <c r="B10" s="38"/>
      <c r="C10" s="38"/>
      <c r="D10" s="38"/>
      <c r="E10" s="38"/>
      <c r="F10" s="38"/>
    </row>
    <row r="11" spans="1:6" ht="12.75">
      <c r="A11" s="50" t="s">
        <v>86</v>
      </c>
      <c r="B11" t="s">
        <v>160</v>
      </c>
      <c r="E11" s="38"/>
      <c r="F11" s="38"/>
    </row>
    <row r="12" spans="1:6" ht="12.75">
      <c r="A12" s="50"/>
      <c r="B12" s="38"/>
      <c r="C12" s="44"/>
      <c r="D12" s="33"/>
      <c r="E12" s="38"/>
      <c r="F12" s="38"/>
    </row>
    <row r="13" spans="2:5" ht="12.75">
      <c r="B13" s="32"/>
      <c r="C13" s="134" t="s">
        <v>164</v>
      </c>
      <c r="D13" s="135"/>
      <c r="E13" s="133" t="s">
        <v>161</v>
      </c>
    </row>
    <row r="14" spans="1:6" ht="12.75">
      <c r="A14" s="46"/>
      <c r="B14" s="37" t="s">
        <v>152</v>
      </c>
      <c r="C14" s="38" t="s">
        <v>153</v>
      </c>
      <c r="D14" s="16" t="s">
        <v>154</v>
      </c>
      <c r="E14" s="133"/>
      <c r="F14" s="31"/>
    </row>
    <row r="15" spans="1:5" ht="12.75">
      <c r="A15" s="50"/>
      <c r="B15" s="16">
        <v>1</v>
      </c>
      <c r="C15" s="43">
        <f aca="true" t="shared" si="0" ref="C15:D17">C7-MIN(C$7:C$9)</f>
        <v>3.5</v>
      </c>
      <c r="D15" s="43">
        <f t="shared" si="0"/>
        <v>3</v>
      </c>
      <c r="E15" s="47">
        <f>MAX(C15:D15)</f>
        <v>3.5</v>
      </c>
    </row>
    <row r="16" spans="1:6" ht="12.75">
      <c r="A16" s="46"/>
      <c r="B16" s="16">
        <v>2</v>
      </c>
      <c r="C16" s="43">
        <f t="shared" si="0"/>
        <v>0</v>
      </c>
      <c r="D16" s="43">
        <f t="shared" si="0"/>
        <v>4</v>
      </c>
      <c r="E16" s="47">
        <f>MAX(C16:D16)</f>
        <v>4</v>
      </c>
      <c r="F16" s="38"/>
    </row>
    <row r="17" spans="1:6" ht="12.75">
      <c r="A17" s="50"/>
      <c r="B17" s="16">
        <v>3</v>
      </c>
      <c r="C17" s="43">
        <f t="shared" si="0"/>
        <v>2.5</v>
      </c>
      <c r="D17" s="43">
        <f t="shared" si="0"/>
        <v>0</v>
      </c>
      <c r="E17" s="51">
        <f>MAX(C17:D17)</f>
        <v>2.5</v>
      </c>
      <c r="F17" s="31" t="s">
        <v>119</v>
      </c>
    </row>
    <row r="18" spans="1:6" ht="12.75">
      <c r="A18" s="46"/>
      <c r="B18" s="38"/>
      <c r="C18" s="38"/>
      <c r="D18" s="38"/>
      <c r="E18" s="38"/>
      <c r="F18" s="38"/>
    </row>
    <row r="19" spans="1:6" ht="12.75" customHeight="1">
      <c r="A19" s="50" t="s">
        <v>93</v>
      </c>
      <c r="B19" s="32"/>
      <c r="C19" s="134" t="s">
        <v>151</v>
      </c>
      <c r="D19" s="135"/>
      <c r="E19" s="16" t="s">
        <v>2</v>
      </c>
      <c r="F19" s="38"/>
    </row>
    <row r="20" spans="2:6" ht="12.75">
      <c r="B20" s="37" t="s">
        <v>152</v>
      </c>
      <c r="C20" s="16" t="s">
        <v>153</v>
      </c>
      <c r="D20" s="16" t="s">
        <v>154</v>
      </c>
      <c r="E20" s="16">
        <v>0.3</v>
      </c>
      <c r="F20" s="38"/>
    </row>
    <row r="21" spans="1:6" ht="12.75">
      <c r="A21" s="46"/>
      <c r="B21" s="16">
        <v>1</v>
      </c>
      <c r="C21" s="53">
        <v>7.5</v>
      </c>
      <c r="D21" s="53">
        <v>6</v>
      </c>
      <c r="E21" s="53">
        <f>E$20*C21+(1-E$20)*D21</f>
        <v>6.449999999999999</v>
      </c>
      <c r="F21" s="31"/>
    </row>
    <row r="22" spans="1:6" ht="12.75">
      <c r="A22" s="46"/>
      <c r="B22" s="16">
        <v>2</v>
      </c>
      <c r="C22" s="53">
        <v>4</v>
      </c>
      <c r="D22" s="53">
        <v>7</v>
      </c>
      <c r="E22" s="53">
        <f>E$20*C22+(1-E$20)*D22</f>
        <v>6.1</v>
      </c>
      <c r="F22" s="31"/>
    </row>
    <row r="23" spans="1:6" ht="12.75">
      <c r="A23" s="46"/>
      <c r="B23" s="16">
        <v>3</v>
      </c>
      <c r="C23" s="53">
        <v>6.5</v>
      </c>
      <c r="D23" s="53">
        <v>3</v>
      </c>
      <c r="E23" s="54">
        <f>E$20*C23+(1-E$20)*D23</f>
        <v>4.05</v>
      </c>
      <c r="F23" s="31" t="s">
        <v>119</v>
      </c>
    </row>
    <row r="24" spans="1:6" ht="12.75">
      <c r="A24" s="50"/>
      <c r="B24" s="23"/>
      <c r="C24" s="31"/>
      <c r="D24" s="31"/>
      <c r="E24" s="31"/>
      <c r="F24" s="31"/>
    </row>
    <row r="25" spans="1:6" ht="12.75">
      <c r="A25" s="50" t="s">
        <v>94</v>
      </c>
      <c r="B25" s="32"/>
      <c r="C25" s="134" t="s">
        <v>151</v>
      </c>
      <c r="D25" s="135"/>
      <c r="E25" s="16" t="s">
        <v>3</v>
      </c>
      <c r="F25" s="31"/>
    </row>
    <row r="26" spans="1:6" ht="12.75">
      <c r="A26" s="46"/>
      <c r="B26" s="37" t="s">
        <v>152</v>
      </c>
      <c r="C26" s="16" t="s">
        <v>153</v>
      </c>
      <c r="D26" s="16" t="s">
        <v>154</v>
      </c>
      <c r="E26" s="16">
        <v>0.5</v>
      </c>
      <c r="F26" s="31"/>
    </row>
    <row r="27" spans="1:6" ht="12.75">
      <c r="A27" s="46"/>
      <c r="B27" s="16">
        <v>1</v>
      </c>
      <c r="C27" s="53">
        <v>7.5</v>
      </c>
      <c r="D27" s="53">
        <v>6</v>
      </c>
      <c r="E27" s="53">
        <f>E$26*C27+(1-E$26)*D27</f>
        <v>6.75</v>
      </c>
      <c r="F27" s="31"/>
    </row>
    <row r="28" spans="1:6" ht="12.75">
      <c r="A28" s="46"/>
      <c r="B28" s="16">
        <v>2</v>
      </c>
      <c r="C28" s="53">
        <v>4</v>
      </c>
      <c r="D28" s="53">
        <v>7</v>
      </c>
      <c r="E28" s="53">
        <f>E$26*C28+(1-E$26)*D28</f>
        <v>5.5</v>
      </c>
      <c r="F28" s="31"/>
    </row>
    <row r="29" spans="1:6" ht="12.75">
      <c r="A29" s="46"/>
      <c r="B29" s="16">
        <v>3</v>
      </c>
      <c r="C29" s="53">
        <v>6.5</v>
      </c>
      <c r="D29" s="53">
        <v>3</v>
      </c>
      <c r="E29" s="54">
        <f>E$26*C29+(1-E$26)*D29</f>
        <v>4.75</v>
      </c>
      <c r="F29" s="31" t="s">
        <v>119</v>
      </c>
    </row>
    <row r="30" spans="1:6" ht="12.75">
      <c r="A30" s="46"/>
      <c r="B30" s="31"/>
      <c r="C30" s="31"/>
      <c r="D30" s="31"/>
      <c r="E30" s="31"/>
      <c r="F30" s="31"/>
    </row>
    <row r="31" spans="1:6" ht="12.75">
      <c r="A31" s="50"/>
      <c r="B31" s="45"/>
      <c r="C31" s="31"/>
      <c r="D31" s="31"/>
      <c r="E31" s="31"/>
      <c r="F31" s="31"/>
    </row>
    <row r="32" spans="1:6" ht="12.75">
      <c r="A32" s="46"/>
      <c r="B32" s="46"/>
      <c r="C32" s="38"/>
      <c r="D32" s="33"/>
      <c r="E32" s="31"/>
      <c r="F32" s="31"/>
    </row>
    <row r="33" spans="1:6" ht="12.75">
      <c r="A33" s="46"/>
      <c r="B33" s="46"/>
      <c r="C33" s="38"/>
      <c r="D33" s="33"/>
      <c r="E33" s="31"/>
      <c r="F33" s="31"/>
    </row>
    <row r="34" spans="1:6" ht="12.75">
      <c r="A34" s="46"/>
      <c r="B34" s="46"/>
      <c r="C34" s="38"/>
      <c r="D34" s="31"/>
      <c r="E34" s="31"/>
      <c r="F34" s="31"/>
    </row>
  </sheetData>
  <mergeCells count="5">
    <mergeCell ref="E13:E14"/>
    <mergeCell ref="C19:D19"/>
    <mergeCell ref="C25:D25"/>
    <mergeCell ref="C5:D5"/>
    <mergeCell ref="C13:D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31" sqref="F31"/>
    </sheetView>
  </sheetViews>
  <sheetFormatPr defaultColWidth="11.00390625" defaultRowHeight="12"/>
  <cols>
    <col min="1" max="1" width="10.875" style="2" customWidth="1"/>
    <col min="7" max="7" width="10.875" style="29" customWidth="1"/>
  </cols>
  <sheetData>
    <row r="1" ht="12.75">
      <c r="A1" s="50" t="s">
        <v>24</v>
      </c>
    </row>
    <row r="3" ht="12.75">
      <c r="A3" s="50" t="s">
        <v>86</v>
      </c>
    </row>
    <row r="4" spans="2:6" ht="12.75">
      <c r="B4" s="55"/>
      <c r="C4" s="134" t="s">
        <v>4</v>
      </c>
      <c r="D4" s="136"/>
      <c r="E4" s="135"/>
      <c r="F4" s="55"/>
    </row>
    <row r="5" spans="2:6" ht="12.75">
      <c r="B5" s="36"/>
      <c r="C5" s="42" t="s">
        <v>5</v>
      </c>
      <c r="D5" s="42" t="s">
        <v>6</v>
      </c>
      <c r="E5" s="42" t="s">
        <v>7</v>
      </c>
      <c r="F5" s="36"/>
    </row>
    <row r="6" spans="2:6" ht="12.75">
      <c r="B6" s="42" t="s">
        <v>152</v>
      </c>
      <c r="C6" s="56">
        <v>0.2</v>
      </c>
      <c r="D6" s="18">
        <v>0.7</v>
      </c>
      <c r="E6" s="41">
        <v>0.1</v>
      </c>
      <c r="F6" s="42" t="s">
        <v>8</v>
      </c>
    </row>
    <row r="7" spans="2:7" ht="12.75">
      <c r="B7" s="18" t="s">
        <v>9</v>
      </c>
      <c r="C7" s="58">
        <v>120000</v>
      </c>
      <c r="D7" s="58">
        <v>70000</v>
      </c>
      <c r="E7" s="58">
        <v>-30000</v>
      </c>
      <c r="F7" s="60">
        <f>SUMPRODUCT(C$6:E$6,C7:E7)</f>
        <v>70000</v>
      </c>
      <c r="G7" s="45" t="s">
        <v>119</v>
      </c>
    </row>
    <row r="8" spans="2:7" ht="12.75">
      <c r="B8" s="18" t="s">
        <v>10</v>
      </c>
      <c r="C8" s="58">
        <v>60000</v>
      </c>
      <c r="D8" s="58">
        <v>40000</v>
      </c>
      <c r="E8" s="58">
        <v>20000</v>
      </c>
      <c r="F8" s="59">
        <f>SUMPRODUCT(C$6:E$6,C8:E8)</f>
        <v>42000</v>
      </c>
      <c r="G8" s="45"/>
    </row>
    <row r="9" spans="2:6" ht="12.75">
      <c r="B9" s="18" t="s">
        <v>11</v>
      </c>
      <c r="C9" s="58">
        <v>35000</v>
      </c>
      <c r="D9" s="58">
        <v>30000</v>
      </c>
      <c r="E9" s="58">
        <v>30000</v>
      </c>
      <c r="F9" s="59">
        <f>SUMPRODUCT(C$6:E$6,C9:E9)</f>
        <v>31000</v>
      </c>
    </row>
    <row r="11" ht="12.75">
      <c r="A11" s="50" t="s">
        <v>93</v>
      </c>
    </row>
    <row r="12" spans="2:6" ht="12.75">
      <c r="B12" s="55"/>
      <c r="C12" s="134" t="s">
        <v>4</v>
      </c>
      <c r="D12" s="136"/>
      <c r="E12" s="135"/>
      <c r="F12" s="62" t="s">
        <v>25</v>
      </c>
    </row>
    <row r="13" spans="2:6" ht="12.75">
      <c r="B13" s="36"/>
      <c r="C13" s="42" t="s">
        <v>5</v>
      </c>
      <c r="D13" s="42" t="s">
        <v>6</v>
      </c>
      <c r="E13" s="42" t="s">
        <v>7</v>
      </c>
      <c r="F13" s="61" t="s">
        <v>26</v>
      </c>
    </row>
    <row r="14" spans="2:6" ht="12.75">
      <c r="B14" s="42" t="s">
        <v>152</v>
      </c>
      <c r="C14" s="56">
        <v>0.2</v>
      </c>
      <c r="D14" s="18">
        <v>0.7</v>
      </c>
      <c r="E14" s="41">
        <v>0.1</v>
      </c>
      <c r="F14" s="42" t="s">
        <v>27</v>
      </c>
    </row>
    <row r="15" spans="2:7" ht="12.75">
      <c r="B15" s="18" t="s">
        <v>9</v>
      </c>
      <c r="C15" s="58">
        <f>MAX(C$7:C$9)-C7</f>
        <v>0</v>
      </c>
      <c r="D15" s="58">
        <f>MAX(D$7:D$9)-D7</f>
        <v>0</v>
      </c>
      <c r="E15" s="58">
        <f>MAX(E$7:E$9)-E7</f>
        <v>60000</v>
      </c>
      <c r="F15" s="60">
        <f>SUMPRODUCT(C$14:E$14,C15:E15)</f>
        <v>6000</v>
      </c>
      <c r="G15" s="45" t="s">
        <v>119</v>
      </c>
    </row>
    <row r="16" spans="2:7" ht="12.75">
      <c r="B16" s="18" t="s">
        <v>10</v>
      </c>
      <c r="C16" s="58">
        <f aca="true" t="shared" si="0" ref="C16:E17">MAX(C$7:C$9)-C8</f>
        <v>60000</v>
      </c>
      <c r="D16" s="58">
        <f t="shared" si="0"/>
        <v>30000</v>
      </c>
      <c r="E16" s="58">
        <f t="shared" si="0"/>
        <v>10000</v>
      </c>
      <c r="F16" s="59">
        <f>SUMPRODUCT(C$14:E$14,C16:E16)</f>
        <v>34000</v>
      </c>
      <c r="G16" s="45"/>
    </row>
    <row r="17" spans="2:6" ht="12.75">
      <c r="B17" s="18" t="s">
        <v>11</v>
      </c>
      <c r="C17" s="58">
        <f t="shared" si="0"/>
        <v>85000</v>
      </c>
      <c r="D17" s="58">
        <f t="shared" si="0"/>
        <v>40000</v>
      </c>
      <c r="E17" s="58">
        <f t="shared" si="0"/>
        <v>0</v>
      </c>
      <c r="F17" s="59">
        <f>SUMPRODUCT(C$14:E$14,C17:E17)</f>
        <v>45000</v>
      </c>
    </row>
    <row r="19" ht="12.75">
      <c r="A19" s="50" t="s">
        <v>94</v>
      </c>
    </row>
    <row r="20" spans="2:6" ht="12.75">
      <c r="B20" s="55"/>
      <c r="C20" s="134" t="s">
        <v>4</v>
      </c>
      <c r="D20" s="136"/>
      <c r="E20" s="136"/>
      <c r="F20" s="137" t="s">
        <v>29</v>
      </c>
    </row>
    <row r="21" spans="2:6" ht="12.75">
      <c r="B21" s="36"/>
      <c r="C21" s="42" t="s">
        <v>5</v>
      </c>
      <c r="D21" s="42" t="s">
        <v>6</v>
      </c>
      <c r="E21" s="40" t="s">
        <v>7</v>
      </c>
      <c r="F21" s="138"/>
    </row>
    <row r="22" spans="2:6" ht="12.75">
      <c r="B22" s="42" t="s">
        <v>152</v>
      </c>
      <c r="C22" s="56">
        <v>0.2</v>
      </c>
      <c r="D22" s="18">
        <v>0.7</v>
      </c>
      <c r="E22" s="39">
        <v>0.1</v>
      </c>
      <c r="F22" s="138"/>
    </row>
    <row r="23" spans="2:6" ht="12.75">
      <c r="B23" s="18" t="s">
        <v>9</v>
      </c>
      <c r="C23" s="58">
        <v>120000</v>
      </c>
      <c r="D23" s="58">
        <v>70000</v>
      </c>
      <c r="E23" s="69">
        <v>-30000</v>
      </c>
      <c r="F23" s="65"/>
    </row>
    <row r="24" spans="2:6" ht="12.75">
      <c r="B24" s="18" t="s">
        <v>10</v>
      </c>
      <c r="C24" s="58">
        <v>60000</v>
      </c>
      <c r="D24" s="58">
        <v>40000</v>
      </c>
      <c r="E24" s="69">
        <v>20000</v>
      </c>
      <c r="F24" s="65"/>
    </row>
    <row r="25" spans="2:6" ht="13.5" thickBot="1">
      <c r="B25" s="67" t="s">
        <v>11</v>
      </c>
      <c r="C25" s="68">
        <v>35000</v>
      </c>
      <c r="D25" s="68">
        <v>30000</v>
      </c>
      <c r="E25" s="70">
        <v>30000</v>
      </c>
      <c r="F25" s="72"/>
    </row>
    <row r="26" spans="2:6" ht="13.5" thickTop="1">
      <c r="B26" s="64" t="s">
        <v>28</v>
      </c>
      <c r="C26" s="66">
        <f>MAX(C23:C25)</f>
        <v>120000</v>
      </c>
      <c r="D26" s="66">
        <f>MAX(D23:D25)</f>
        <v>70000</v>
      </c>
      <c r="E26" s="66">
        <f>MAX(E23:E25)</f>
        <v>30000</v>
      </c>
      <c r="F26" s="66">
        <f>SUMPRODUCT(C22:E22,C26:E26)</f>
        <v>76000</v>
      </c>
    </row>
    <row r="28" spans="2:3" ht="12.75">
      <c r="B28" s="57" t="s">
        <v>12</v>
      </c>
      <c r="C28" s="58">
        <f>F26-F7</f>
        <v>6000</v>
      </c>
    </row>
  </sheetData>
  <mergeCells count="4">
    <mergeCell ref="C4:E4"/>
    <mergeCell ref="C12:E12"/>
    <mergeCell ref="C20:E20"/>
    <mergeCell ref="F20:F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8"/>
  <sheetViews>
    <sheetView zoomScale="125" zoomScaleNormal="125" workbookViewId="0" topLeftCell="C1">
      <selection activeCell="C22" sqref="C22"/>
    </sheetView>
  </sheetViews>
  <sheetFormatPr defaultColWidth="11.00390625" defaultRowHeight="12"/>
  <cols>
    <col min="1" max="1" width="8.875" style="0" customWidth="1"/>
    <col min="2" max="2" width="10.00390625" style="0" customWidth="1"/>
    <col min="3" max="3" width="10.375" style="0" customWidth="1"/>
    <col min="5" max="5" width="12.00390625" style="0" customWidth="1"/>
    <col min="6" max="6" width="11.125" style="0" customWidth="1"/>
    <col min="7" max="16384" width="8.875" style="0" customWidth="1"/>
  </cols>
  <sheetData>
    <row r="1" ht="12.75">
      <c r="A1" s="10" t="s">
        <v>48</v>
      </c>
    </row>
    <row r="3" spans="1:5" ht="12.75">
      <c r="A3" s="23" t="s">
        <v>49</v>
      </c>
      <c r="E3" s="23" t="s">
        <v>30</v>
      </c>
    </row>
    <row r="5" spans="1:11" ht="12.75">
      <c r="A5" s="92" t="s">
        <v>31</v>
      </c>
      <c r="B5" s="93" t="s">
        <v>40</v>
      </c>
      <c r="C5" s="94" t="s">
        <v>41</v>
      </c>
      <c r="D5" s="74" t="s">
        <v>157</v>
      </c>
      <c r="E5" s="18" t="s">
        <v>42</v>
      </c>
      <c r="F5" s="73" t="s">
        <v>41</v>
      </c>
      <c r="G5" s="75" t="s">
        <v>43</v>
      </c>
      <c r="H5" s="76" t="s">
        <v>158</v>
      </c>
      <c r="I5" s="82" t="s">
        <v>42</v>
      </c>
      <c r="J5" s="73" t="s">
        <v>41</v>
      </c>
      <c r="K5" s="18" t="s">
        <v>44</v>
      </c>
    </row>
    <row r="6" spans="1:11" ht="12.75">
      <c r="A6" s="77">
        <v>0.15</v>
      </c>
      <c r="B6" s="18">
        <v>0</v>
      </c>
      <c r="C6" s="18">
        <v>1</v>
      </c>
      <c r="E6" s="78">
        <f ca="1">RAND()</f>
        <v>0.876340673267805</v>
      </c>
      <c r="F6" s="79">
        <f>VLOOKUP(E6,Lookup,2)</f>
        <v>4</v>
      </c>
      <c r="G6" s="36">
        <v>1</v>
      </c>
      <c r="I6" s="80">
        <v>0.4421859766553098</v>
      </c>
      <c r="J6" s="81">
        <f>VLOOKUP(I6,Lookup,2)</f>
        <v>2</v>
      </c>
      <c r="K6" s="82">
        <f>J6</f>
        <v>2</v>
      </c>
    </row>
    <row r="7" spans="1:11" ht="12.75">
      <c r="A7" s="77">
        <v>0.3</v>
      </c>
      <c r="B7" s="77">
        <f>A6+B6</f>
        <v>0.15</v>
      </c>
      <c r="C7" s="18">
        <v>2</v>
      </c>
      <c r="E7" s="78">
        <f aca="true" ca="1" t="shared" si="0" ref="E7:E25">RAND()</f>
        <v>0.2692826072907337</v>
      </c>
      <c r="F7" s="79">
        <f aca="true" t="shared" si="1" ref="F7:F25">VLOOKUP(E7,Lookup,2)</f>
        <v>2</v>
      </c>
      <c r="G7" s="36">
        <v>2</v>
      </c>
      <c r="I7" s="78">
        <v>0.46254514968222793</v>
      </c>
      <c r="J7" s="79">
        <f aca="true" t="shared" si="2" ref="J7:J30">VLOOKUP(I7,Lookup,2)</f>
        <v>3</v>
      </c>
      <c r="K7" s="36">
        <f>K6+J7</f>
        <v>5</v>
      </c>
    </row>
    <row r="8" spans="1:11" ht="12.75">
      <c r="A8" s="77">
        <v>0.4</v>
      </c>
      <c r="B8" s="77">
        <f>A7+B7</f>
        <v>0.44999999999999996</v>
      </c>
      <c r="C8" s="18">
        <v>3</v>
      </c>
      <c r="E8" s="78">
        <f ca="1" t="shared" si="0"/>
        <v>0.9292449283939277</v>
      </c>
      <c r="F8" s="79">
        <f t="shared" si="1"/>
        <v>4</v>
      </c>
      <c r="G8" s="36">
        <v>3</v>
      </c>
      <c r="I8" s="78">
        <v>0.4187756685914792</v>
      </c>
      <c r="J8" s="79">
        <f t="shared" si="2"/>
        <v>2</v>
      </c>
      <c r="K8" s="36">
        <f aca="true" t="shared" si="3" ref="K8:K30">K7+J8</f>
        <v>7</v>
      </c>
    </row>
    <row r="9" spans="1:11" ht="12.75">
      <c r="A9" s="77">
        <v>0.15</v>
      </c>
      <c r="B9" s="77">
        <f>A8+B8</f>
        <v>0.85</v>
      </c>
      <c r="C9" s="18">
        <v>4</v>
      </c>
      <c r="E9" s="78">
        <f ca="1" t="shared" si="0"/>
        <v>0.47519451667541546</v>
      </c>
      <c r="F9" s="79">
        <f t="shared" si="1"/>
        <v>3</v>
      </c>
      <c r="G9" s="36">
        <v>4</v>
      </c>
      <c r="I9" s="78">
        <v>0.35783249492033065</v>
      </c>
      <c r="J9" s="79">
        <f t="shared" si="2"/>
        <v>2</v>
      </c>
      <c r="K9" s="36">
        <f t="shared" si="3"/>
        <v>9</v>
      </c>
    </row>
    <row r="10" spans="1:11" ht="12.75">
      <c r="A10" s="77">
        <v>1</v>
      </c>
      <c r="B10" s="77">
        <f>A9+B9</f>
        <v>1</v>
      </c>
      <c r="C10" s="18"/>
      <c r="E10" s="78">
        <f ca="1" t="shared" si="0"/>
        <v>0.979278199323744</v>
      </c>
      <c r="F10" s="79">
        <f t="shared" si="1"/>
        <v>4</v>
      </c>
      <c r="G10" s="36">
        <v>5</v>
      </c>
      <c r="I10" s="78">
        <v>0.08373869181377813</v>
      </c>
      <c r="J10" s="79">
        <f t="shared" si="2"/>
        <v>1</v>
      </c>
      <c r="K10" s="36">
        <f t="shared" si="3"/>
        <v>10</v>
      </c>
    </row>
    <row r="11" spans="1:11" ht="12.75">
      <c r="A11" s="83"/>
      <c r="B11" s="83"/>
      <c r="C11" s="22"/>
      <c r="E11" s="78">
        <f ca="1" t="shared" si="0"/>
        <v>0.9015925650992358</v>
      </c>
      <c r="F11" s="79">
        <f t="shared" si="1"/>
        <v>4</v>
      </c>
      <c r="G11" s="36">
        <v>6</v>
      </c>
      <c r="I11" s="78">
        <v>0.6056677339392991</v>
      </c>
      <c r="J11" s="79">
        <f t="shared" si="2"/>
        <v>3</v>
      </c>
      <c r="K11" s="36">
        <f t="shared" si="3"/>
        <v>13</v>
      </c>
    </row>
    <row r="12" spans="1:11" ht="12.75">
      <c r="A12" s="83"/>
      <c r="B12" s="83"/>
      <c r="C12" s="22"/>
      <c r="E12" s="78">
        <f ca="1" t="shared" si="0"/>
        <v>0.701656998051476</v>
      </c>
      <c r="F12" s="79">
        <f t="shared" si="1"/>
        <v>3</v>
      </c>
      <c r="G12" s="36">
        <v>7</v>
      </c>
      <c r="I12" s="78">
        <v>0.39728433181335276</v>
      </c>
      <c r="J12" s="79">
        <f t="shared" si="2"/>
        <v>2</v>
      </c>
      <c r="K12" s="36">
        <f t="shared" si="3"/>
        <v>15</v>
      </c>
    </row>
    <row r="13" spans="1:11" ht="12.75">
      <c r="A13" s="83"/>
      <c r="B13" s="71"/>
      <c r="C13" s="71"/>
      <c r="E13" s="78">
        <f ca="1" t="shared" si="0"/>
        <v>0.24276550960348686</v>
      </c>
      <c r="F13" s="79">
        <f t="shared" si="1"/>
        <v>2</v>
      </c>
      <c r="G13" s="36">
        <v>8</v>
      </c>
      <c r="I13" s="78">
        <v>0.535900746113839</v>
      </c>
      <c r="J13" s="79">
        <f t="shared" si="2"/>
        <v>3</v>
      </c>
      <c r="K13" s="36">
        <f t="shared" si="3"/>
        <v>18</v>
      </c>
    </row>
    <row r="14" spans="3:11" ht="12.75">
      <c r="C14" s="83"/>
      <c r="D14" s="84"/>
      <c r="E14" s="78">
        <f ca="1" t="shared" si="0"/>
        <v>0.5952610517224457</v>
      </c>
      <c r="F14" s="79">
        <f t="shared" si="1"/>
        <v>3</v>
      </c>
      <c r="G14" s="36">
        <v>9</v>
      </c>
      <c r="I14" s="78">
        <v>0.5562010078292587</v>
      </c>
      <c r="J14" s="79">
        <f t="shared" si="2"/>
        <v>3</v>
      </c>
      <c r="K14" s="36">
        <f t="shared" si="3"/>
        <v>21</v>
      </c>
    </row>
    <row r="15" spans="1:11" ht="12.75">
      <c r="A15" s="45" t="s">
        <v>45</v>
      </c>
      <c r="B15" s="29"/>
      <c r="C15" s="85">
        <f>AVERAGE(F6:F25)</f>
        <v>3.25</v>
      </c>
      <c r="E15" s="78">
        <f ca="1" t="shared" si="0"/>
        <v>0.23458927327192214</v>
      </c>
      <c r="F15" s="79">
        <f t="shared" si="1"/>
        <v>2</v>
      </c>
      <c r="G15" s="36">
        <v>10</v>
      </c>
      <c r="I15" s="78">
        <v>0.6967896978021599</v>
      </c>
      <c r="J15" s="79">
        <f t="shared" si="2"/>
        <v>3</v>
      </c>
      <c r="K15" s="36">
        <f t="shared" si="3"/>
        <v>24</v>
      </c>
    </row>
    <row r="16" spans="1:11" ht="12.75">
      <c r="A16" s="20"/>
      <c r="C16" s="85"/>
      <c r="E16" s="78">
        <f ca="1" t="shared" si="0"/>
        <v>0.5724502015918915</v>
      </c>
      <c r="F16" s="79">
        <f t="shared" si="1"/>
        <v>3</v>
      </c>
      <c r="G16" s="36">
        <v>11</v>
      </c>
      <c r="I16" s="78">
        <v>0.5375996988759653</v>
      </c>
      <c r="J16" s="79">
        <f t="shared" si="2"/>
        <v>3</v>
      </c>
      <c r="K16" s="36">
        <f t="shared" si="3"/>
        <v>27</v>
      </c>
    </row>
    <row r="17" spans="1:11" ht="12.75">
      <c r="A17" s="33" t="s">
        <v>46</v>
      </c>
      <c r="B17" s="86"/>
      <c r="C17" s="85">
        <f>AVERAGE(J6:J29)</f>
        <v>2.4583333333333335</v>
      </c>
      <c r="E17" s="78">
        <f ca="1" t="shared" si="0"/>
        <v>0.9418068689665233</v>
      </c>
      <c r="F17" s="79">
        <f t="shared" si="1"/>
        <v>4</v>
      </c>
      <c r="G17" s="36">
        <v>12</v>
      </c>
      <c r="I17" s="78">
        <v>0.0933617944483558</v>
      </c>
      <c r="J17" s="79">
        <f t="shared" si="2"/>
        <v>1</v>
      </c>
      <c r="K17" s="36">
        <f t="shared" si="3"/>
        <v>28</v>
      </c>
    </row>
    <row r="18" spans="1:11" ht="12.75">
      <c r="A18" s="20"/>
      <c r="E18" s="78">
        <f ca="1" t="shared" si="0"/>
        <v>0.8705560910011627</v>
      </c>
      <c r="F18" s="79">
        <f t="shared" si="1"/>
        <v>4</v>
      </c>
      <c r="G18" s="36">
        <v>13</v>
      </c>
      <c r="I18" s="78">
        <v>0.1412190380406173</v>
      </c>
      <c r="J18" s="79">
        <f t="shared" si="2"/>
        <v>1</v>
      </c>
      <c r="K18" s="36">
        <f t="shared" si="3"/>
        <v>29</v>
      </c>
    </row>
    <row r="19" spans="1:11" ht="12.75">
      <c r="A19" s="20"/>
      <c r="E19" s="78">
        <f ca="1" t="shared" si="0"/>
        <v>0.5066811763299484</v>
      </c>
      <c r="F19" s="79">
        <f t="shared" si="1"/>
        <v>3</v>
      </c>
      <c r="G19" s="36">
        <v>14</v>
      </c>
      <c r="I19" s="78">
        <v>0.15098037798088626</v>
      </c>
      <c r="J19" s="79">
        <f t="shared" si="2"/>
        <v>2</v>
      </c>
      <c r="K19" s="36">
        <f t="shared" si="3"/>
        <v>31</v>
      </c>
    </row>
    <row r="20" spans="1:11" ht="12.75">
      <c r="A20" s="20"/>
      <c r="E20" s="78">
        <f ca="1" t="shared" si="0"/>
        <v>0.3175626628808459</v>
      </c>
      <c r="F20" s="79">
        <f t="shared" si="1"/>
        <v>2</v>
      </c>
      <c r="G20" s="87">
        <v>15</v>
      </c>
      <c r="I20" s="78">
        <v>0.48351176035703247</v>
      </c>
      <c r="J20" s="79">
        <f t="shared" si="2"/>
        <v>3</v>
      </c>
      <c r="K20" s="36">
        <f t="shared" si="3"/>
        <v>34</v>
      </c>
    </row>
    <row r="21" spans="5:11" ht="12.75">
      <c r="E21" s="78">
        <f ca="1" t="shared" si="0"/>
        <v>0.8647669268830214</v>
      </c>
      <c r="F21" s="79">
        <f t="shared" si="1"/>
        <v>4</v>
      </c>
      <c r="G21" s="87">
        <v>16</v>
      </c>
      <c r="I21" s="78">
        <v>0.7070118725514476</v>
      </c>
      <c r="J21" s="79">
        <f t="shared" si="2"/>
        <v>3</v>
      </c>
      <c r="K21" s="36">
        <f t="shared" si="3"/>
        <v>37</v>
      </c>
    </row>
    <row r="22" spans="5:11" ht="12.75">
      <c r="E22" s="78">
        <f ca="1" t="shared" si="0"/>
        <v>0.9148161124639955</v>
      </c>
      <c r="F22" s="79">
        <f t="shared" si="1"/>
        <v>4</v>
      </c>
      <c r="G22" s="87">
        <v>17</v>
      </c>
      <c r="I22" s="78">
        <v>0.6451116300968351</v>
      </c>
      <c r="J22" s="79">
        <f t="shared" si="2"/>
        <v>3</v>
      </c>
      <c r="K22" s="36">
        <f t="shared" si="3"/>
        <v>40</v>
      </c>
    </row>
    <row r="23" spans="5:11" ht="12.75">
      <c r="E23" s="78">
        <f ca="1" t="shared" si="0"/>
        <v>0.7203561780570453</v>
      </c>
      <c r="F23" s="79">
        <f t="shared" si="1"/>
        <v>3</v>
      </c>
      <c r="G23" s="87">
        <v>18</v>
      </c>
      <c r="I23" s="78">
        <v>0.6974191755361971</v>
      </c>
      <c r="J23" s="79">
        <f t="shared" si="2"/>
        <v>3</v>
      </c>
      <c r="K23" s="36">
        <f t="shared" si="3"/>
        <v>43</v>
      </c>
    </row>
    <row r="24" spans="5:11" ht="12.75">
      <c r="E24" s="78">
        <f ca="1" t="shared" si="0"/>
        <v>0.8119949746951534</v>
      </c>
      <c r="F24" s="79">
        <f t="shared" si="1"/>
        <v>3</v>
      </c>
      <c r="G24" s="87">
        <v>19</v>
      </c>
      <c r="I24" s="78">
        <v>0.531969735671737</v>
      </c>
      <c r="J24" s="79">
        <f t="shared" si="2"/>
        <v>3</v>
      </c>
      <c r="K24" s="36">
        <f t="shared" si="3"/>
        <v>46</v>
      </c>
    </row>
    <row r="25" spans="5:11" ht="12.75">
      <c r="E25" s="78">
        <f ca="1" t="shared" si="0"/>
        <v>0.8731385118189792</v>
      </c>
      <c r="F25" s="79">
        <f t="shared" si="1"/>
        <v>4</v>
      </c>
      <c r="G25" s="87">
        <v>20</v>
      </c>
      <c r="I25" s="78">
        <v>0.9380040147216278</v>
      </c>
      <c r="J25" s="79">
        <f t="shared" si="2"/>
        <v>4</v>
      </c>
      <c r="K25" s="36">
        <f t="shared" si="3"/>
        <v>50</v>
      </c>
    </row>
    <row r="26" spans="5:11" ht="12.75">
      <c r="E26" s="88" t="s">
        <v>47</v>
      </c>
      <c r="F26" s="82">
        <f>SUM(F6:F25)</f>
        <v>65</v>
      </c>
      <c r="G26" s="80"/>
      <c r="I26" s="78">
        <v>0.0704909989508451</v>
      </c>
      <c r="J26" s="79">
        <f t="shared" si="2"/>
        <v>1</v>
      </c>
      <c r="K26" s="36">
        <f t="shared" si="3"/>
        <v>51</v>
      </c>
    </row>
    <row r="27" spans="5:11" ht="12.75">
      <c r="E27" s="52"/>
      <c r="F27" s="52"/>
      <c r="G27" s="89"/>
      <c r="I27" s="78">
        <v>0.6130522608982574</v>
      </c>
      <c r="J27" s="79">
        <f t="shared" si="2"/>
        <v>3</v>
      </c>
      <c r="K27" s="36">
        <f t="shared" si="3"/>
        <v>54</v>
      </c>
    </row>
    <row r="28" spans="7:11" ht="12.75">
      <c r="G28" s="90"/>
      <c r="I28" s="78">
        <v>0.48626861823049694</v>
      </c>
      <c r="J28" s="79">
        <f t="shared" si="2"/>
        <v>3</v>
      </c>
      <c r="K28" s="36">
        <f t="shared" si="3"/>
        <v>57</v>
      </c>
    </row>
    <row r="29" spans="7:11" ht="12.75">
      <c r="G29" s="90"/>
      <c r="I29" s="78">
        <v>0.20290848851982446</v>
      </c>
      <c r="J29" s="79">
        <f t="shared" si="2"/>
        <v>2</v>
      </c>
      <c r="K29" s="36">
        <f t="shared" si="3"/>
        <v>59</v>
      </c>
    </row>
    <row r="30" spans="7:11" ht="12.75">
      <c r="G30" s="90"/>
      <c r="I30" s="89">
        <v>0.9014296739342171</v>
      </c>
      <c r="J30" s="91">
        <f t="shared" si="2"/>
        <v>4</v>
      </c>
      <c r="K30" s="41">
        <f t="shared" si="3"/>
        <v>63</v>
      </c>
    </row>
    <row r="31" spans="7:9" ht="12.75">
      <c r="G31" s="90"/>
      <c r="I31" s="33"/>
    </row>
    <row r="32" ht="12.75">
      <c r="G32" s="90"/>
    </row>
    <row r="33" ht="12.75">
      <c r="G33" s="71"/>
    </row>
    <row r="34" ht="12.75">
      <c r="G34" s="71"/>
    </row>
    <row r="35" ht="12.75">
      <c r="G35" s="71"/>
    </row>
    <row r="36" ht="12.75">
      <c r="G36" s="71"/>
    </row>
    <row r="37" ht="12.75">
      <c r="G37" s="71"/>
    </row>
    <row r="38" ht="12.75">
      <c r="G38" s="71"/>
    </row>
    <row r="39" ht="12.75">
      <c r="G39" s="71"/>
    </row>
    <row r="40" ht="12.75">
      <c r="G40" s="71"/>
    </row>
    <row r="41" ht="12.75">
      <c r="G41" s="71"/>
    </row>
    <row r="42" ht="12.75">
      <c r="G42" s="71"/>
    </row>
    <row r="43" ht="12.75">
      <c r="G43" s="71"/>
    </row>
    <row r="44" ht="12.75">
      <c r="G44" s="71"/>
    </row>
    <row r="45" ht="12.75">
      <c r="G45" s="71"/>
    </row>
    <row r="46" ht="12.75">
      <c r="G46" s="71"/>
    </row>
    <row r="47" ht="12.75">
      <c r="G47" s="71"/>
    </row>
    <row r="48" ht="12.75">
      <c r="G48" s="71"/>
    </row>
    <row r="49" ht="12.75">
      <c r="G49" s="71"/>
    </row>
    <row r="50" ht="12.75">
      <c r="G50" s="71"/>
    </row>
    <row r="51" ht="12.75">
      <c r="G51" s="71"/>
    </row>
    <row r="52" ht="12.75">
      <c r="G52" s="71"/>
    </row>
    <row r="53" ht="12.75">
      <c r="G53" s="71"/>
    </row>
    <row r="54" ht="12.75">
      <c r="G54" s="71"/>
    </row>
    <row r="55" ht="12.75">
      <c r="G55" s="71"/>
    </row>
    <row r="56" ht="12.75">
      <c r="G56" s="71"/>
    </row>
    <row r="57" ht="12.75">
      <c r="G57" s="71"/>
    </row>
    <row r="58" ht="12.75">
      <c r="G58" s="71"/>
    </row>
    <row r="59" ht="12.75">
      <c r="G59" s="71"/>
    </row>
    <row r="60" ht="12.75">
      <c r="G60" s="71"/>
    </row>
    <row r="61" ht="12.75">
      <c r="G61" s="71"/>
    </row>
    <row r="62" ht="12.75">
      <c r="G62" s="71"/>
    </row>
    <row r="63" ht="12.75">
      <c r="G63" s="71"/>
    </row>
    <row r="64" ht="12.75">
      <c r="G64" s="71"/>
    </row>
    <row r="65" ht="12.75">
      <c r="G65" s="71"/>
    </row>
    <row r="66" ht="12.75">
      <c r="G66" s="71"/>
    </row>
    <row r="67" ht="12.75">
      <c r="G67" s="71"/>
    </row>
    <row r="68" ht="12.75">
      <c r="G68" s="71"/>
    </row>
    <row r="69" ht="12.75">
      <c r="G69" s="71"/>
    </row>
    <row r="70" ht="12.75">
      <c r="G70" s="71"/>
    </row>
    <row r="71" ht="12.75">
      <c r="G71" s="71"/>
    </row>
    <row r="72" ht="12.75">
      <c r="G72" s="71"/>
    </row>
    <row r="73" ht="12.75">
      <c r="G73" s="71"/>
    </row>
    <row r="74" ht="12.75">
      <c r="G74" s="71"/>
    </row>
    <row r="75" ht="12.75">
      <c r="G75" s="71"/>
    </row>
    <row r="76" ht="12.75">
      <c r="G76" s="71"/>
    </row>
    <row r="77" ht="12.75">
      <c r="G77" s="71"/>
    </row>
    <row r="78" ht="12.75">
      <c r="G78" s="71"/>
    </row>
    <row r="79" ht="12.75">
      <c r="G79" s="71"/>
    </row>
    <row r="80" ht="12.75">
      <c r="G80" s="71"/>
    </row>
    <row r="81" ht="12.75">
      <c r="G81" s="71"/>
    </row>
    <row r="82" ht="12.75">
      <c r="G82" s="71"/>
    </row>
    <row r="83" ht="12.75">
      <c r="G83" s="71"/>
    </row>
    <row r="84" ht="12.75">
      <c r="G84" s="71"/>
    </row>
    <row r="85" ht="12.75">
      <c r="G85" s="71"/>
    </row>
    <row r="86" ht="12.75">
      <c r="G86" s="71"/>
    </row>
    <row r="87" ht="12.75">
      <c r="G87" s="71"/>
    </row>
    <row r="88" ht="12.75">
      <c r="G88" s="71"/>
    </row>
    <row r="89" ht="12.75">
      <c r="G89" s="71"/>
    </row>
    <row r="90" ht="12.75">
      <c r="G90" s="71"/>
    </row>
    <row r="91" ht="12.75">
      <c r="G91" s="71"/>
    </row>
    <row r="92" ht="12.75">
      <c r="G92" s="71"/>
    </row>
    <row r="93" ht="12.75">
      <c r="G93" s="71"/>
    </row>
    <row r="94" ht="12.75">
      <c r="G94" s="71"/>
    </row>
    <row r="95" ht="12.75">
      <c r="G95" s="71"/>
    </row>
    <row r="96" ht="12.75">
      <c r="G96" s="71"/>
    </row>
    <row r="97" ht="12.75">
      <c r="G97" s="71"/>
    </row>
    <row r="98" ht="12.75">
      <c r="G98" s="71"/>
    </row>
    <row r="99" ht="12.75">
      <c r="G99" s="71"/>
    </row>
    <row r="100" ht="12.75">
      <c r="G100" s="71"/>
    </row>
    <row r="101" ht="12.75">
      <c r="G101" s="71"/>
    </row>
    <row r="102" ht="12.75">
      <c r="G102" s="71"/>
    </row>
    <row r="103" ht="12.75">
      <c r="G103" s="71"/>
    </row>
    <row r="104" ht="12.75">
      <c r="G104" s="71"/>
    </row>
    <row r="105" ht="12.75">
      <c r="G105" s="71"/>
    </row>
    <row r="106" ht="12.75">
      <c r="G106" s="71"/>
    </row>
    <row r="107" ht="12.75">
      <c r="G107" s="71"/>
    </row>
    <row r="108" ht="12.75">
      <c r="G108" s="71"/>
    </row>
    <row r="109" ht="12.75">
      <c r="G109" s="71"/>
    </row>
    <row r="110" ht="12.75">
      <c r="G110" s="71"/>
    </row>
    <row r="111" ht="12.75">
      <c r="G111" s="71"/>
    </row>
    <row r="112" ht="12.75">
      <c r="G112" s="71"/>
    </row>
    <row r="113" ht="12.75">
      <c r="G113" s="71"/>
    </row>
    <row r="114" ht="12.75">
      <c r="G114" s="71"/>
    </row>
    <row r="115" ht="12.75">
      <c r="G115" s="71"/>
    </row>
    <row r="116" ht="12.75">
      <c r="G116" s="71"/>
    </row>
    <row r="117" ht="12.75">
      <c r="G117" s="71"/>
    </row>
    <row r="118" ht="12.75">
      <c r="G118" s="71"/>
    </row>
    <row r="119" ht="12.75">
      <c r="G119" s="71"/>
    </row>
    <row r="120" ht="12.75">
      <c r="G120" s="71"/>
    </row>
    <row r="121" ht="12.75">
      <c r="G121" s="71"/>
    </row>
    <row r="122" ht="12.75">
      <c r="G122" s="71"/>
    </row>
    <row r="123" ht="12.75">
      <c r="G123" s="71"/>
    </row>
    <row r="124" ht="12.75">
      <c r="G124" s="71"/>
    </row>
    <row r="125" ht="12.75">
      <c r="G125" s="71"/>
    </row>
    <row r="126" ht="12.75">
      <c r="G126" s="71"/>
    </row>
    <row r="127" ht="12.75">
      <c r="G127" s="71"/>
    </row>
    <row r="128" ht="12.75">
      <c r="G128" s="71"/>
    </row>
    <row r="129" ht="12.75">
      <c r="G129" s="71"/>
    </row>
    <row r="130" ht="12.75">
      <c r="G130" s="71"/>
    </row>
    <row r="131" ht="12.75">
      <c r="G131" s="71"/>
    </row>
    <row r="132" ht="12.75">
      <c r="G132" s="71"/>
    </row>
    <row r="133" ht="12.75">
      <c r="G133" s="71"/>
    </row>
    <row r="134" ht="12.75">
      <c r="G134" s="71"/>
    </row>
    <row r="135" ht="12.75">
      <c r="G135" s="71"/>
    </row>
    <row r="136" ht="12.75">
      <c r="G136" s="71"/>
    </row>
    <row r="137" ht="12.75">
      <c r="G137" s="71"/>
    </row>
    <row r="138" ht="12.75">
      <c r="G138" s="71"/>
    </row>
    <row r="139" ht="12.75">
      <c r="G139" s="71"/>
    </row>
    <row r="140" ht="12.75">
      <c r="G140" s="71"/>
    </row>
    <row r="141" ht="12.75">
      <c r="G141" s="71"/>
    </row>
    <row r="142" ht="12.75">
      <c r="G142" s="71"/>
    </row>
    <row r="143" ht="12.75">
      <c r="G143" s="71"/>
    </row>
    <row r="144" ht="12.75">
      <c r="G144" s="71"/>
    </row>
    <row r="145" ht="12.75">
      <c r="G145" s="71"/>
    </row>
    <row r="146" ht="12.75">
      <c r="G146" s="71"/>
    </row>
    <row r="147" ht="12.75">
      <c r="G147" s="71"/>
    </row>
    <row r="148" ht="12.75">
      <c r="G148" s="71"/>
    </row>
    <row r="149" ht="12.75">
      <c r="G149" s="71"/>
    </row>
    <row r="150" ht="12.75">
      <c r="G150" s="71"/>
    </row>
    <row r="151" ht="12.75">
      <c r="G151" s="71"/>
    </row>
    <row r="152" ht="12.75">
      <c r="G152" s="71"/>
    </row>
    <row r="153" ht="12.75">
      <c r="G153" s="71"/>
    </row>
    <row r="154" ht="12.75">
      <c r="G154" s="71"/>
    </row>
    <row r="155" ht="12.75">
      <c r="G155" s="71"/>
    </row>
    <row r="156" ht="12.75">
      <c r="G156" s="71"/>
    </row>
    <row r="157" ht="12.75">
      <c r="G157" s="71"/>
    </row>
    <row r="158" ht="12.75">
      <c r="G158" s="71"/>
    </row>
    <row r="159" ht="12.75">
      <c r="G159" s="71"/>
    </row>
    <row r="160" ht="12.75">
      <c r="G160" s="71"/>
    </row>
    <row r="161" ht="12.75">
      <c r="G161" s="71"/>
    </row>
    <row r="162" ht="12.75">
      <c r="G162" s="71"/>
    </row>
    <row r="163" ht="12.75">
      <c r="G163" s="71"/>
    </row>
    <row r="164" ht="12.75">
      <c r="G164" s="71"/>
    </row>
    <row r="165" ht="12.75">
      <c r="G165" s="71"/>
    </row>
    <row r="166" ht="12.75">
      <c r="G166" s="71"/>
    </row>
    <row r="167" ht="12.75">
      <c r="G167" s="71"/>
    </row>
    <row r="168" ht="12.75">
      <c r="G168" s="71"/>
    </row>
    <row r="169" ht="12.75">
      <c r="G169" s="71"/>
    </row>
    <row r="170" ht="12.75">
      <c r="G170" s="71"/>
    </row>
    <row r="171" ht="12.75">
      <c r="G171" s="71"/>
    </row>
    <row r="172" ht="12.75">
      <c r="G172" s="71"/>
    </row>
    <row r="173" ht="12.75">
      <c r="G173" s="71"/>
    </row>
    <row r="174" ht="12.75">
      <c r="G174" s="71"/>
    </row>
    <row r="175" ht="12.75">
      <c r="G175" s="71"/>
    </row>
    <row r="176" ht="12.75">
      <c r="G176" s="71"/>
    </row>
    <row r="177" ht="12.75">
      <c r="G177" s="71"/>
    </row>
    <row r="178" ht="12.75">
      <c r="G178" s="71"/>
    </row>
    <row r="179" ht="12.75">
      <c r="G179" s="71"/>
    </row>
    <row r="180" ht="12.75">
      <c r="G180" s="71"/>
    </row>
    <row r="181" ht="12.75">
      <c r="G181" s="71"/>
    </row>
    <row r="182" ht="12.75">
      <c r="G182" s="71"/>
    </row>
    <row r="183" ht="12.75">
      <c r="G183" s="71"/>
    </row>
    <row r="184" ht="12.75">
      <c r="G184" s="71"/>
    </row>
    <row r="185" ht="12.75">
      <c r="G185" s="71"/>
    </row>
    <row r="186" ht="12.75">
      <c r="G186" s="71"/>
    </row>
    <row r="187" ht="12.75">
      <c r="G187" s="71"/>
    </row>
    <row r="188" ht="12.75">
      <c r="G188" s="71"/>
    </row>
    <row r="189" ht="12.75">
      <c r="G189" s="71"/>
    </row>
    <row r="190" ht="12.75">
      <c r="G190" s="71"/>
    </row>
    <row r="191" ht="12.75">
      <c r="G191" s="71"/>
    </row>
    <row r="192" ht="12.75">
      <c r="G192" s="71"/>
    </row>
    <row r="193" ht="12.75">
      <c r="G193" s="71"/>
    </row>
    <row r="194" ht="12.75">
      <c r="G194" s="71"/>
    </row>
    <row r="195" ht="12.75">
      <c r="G195" s="71"/>
    </row>
    <row r="196" ht="12.75">
      <c r="G196" s="71"/>
    </row>
    <row r="197" ht="12.75">
      <c r="G197" s="71"/>
    </row>
    <row r="198" ht="12.75">
      <c r="G198" s="71"/>
    </row>
    <row r="199" ht="12.75">
      <c r="G199" s="71"/>
    </row>
    <row r="200" ht="12.75">
      <c r="G200" s="71"/>
    </row>
    <row r="201" ht="12.75">
      <c r="G201" s="71"/>
    </row>
    <row r="202" ht="12.75">
      <c r="G202" s="71"/>
    </row>
    <row r="203" ht="12.75">
      <c r="G203" s="71"/>
    </row>
    <row r="204" ht="12.75">
      <c r="G204" s="71"/>
    </row>
    <row r="205" ht="12.75">
      <c r="G205" s="71"/>
    </row>
    <row r="206" ht="12.75">
      <c r="G206" s="71"/>
    </row>
    <row r="207" ht="12.75">
      <c r="G207" s="71"/>
    </row>
    <row r="208" ht="12.75">
      <c r="G208" s="71"/>
    </row>
    <row r="209" ht="12.75">
      <c r="G209" s="71"/>
    </row>
    <row r="210" ht="12.75">
      <c r="G210" s="71"/>
    </row>
    <row r="211" ht="12.75">
      <c r="G211" s="71"/>
    </row>
    <row r="212" ht="12.75">
      <c r="G212" s="71"/>
    </row>
    <row r="213" ht="12.75">
      <c r="G213" s="71"/>
    </row>
    <row r="214" ht="12.75">
      <c r="G214" s="71"/>
    </row>
    <row r="215" ht="12.75">
      <c r="G215" s="71"/>
    </row>
    <row r="216" ht="12.75">
      <c r="G216" s="71"/>
    </row>
    <row r="217" ht="12.75">
      <c r="G217" s="71"/>
    </row>
    <row r="218" ht="12.75">
      <c r="G218" s="71"/>
    </row>
    <row r="219" ht="12.75">
      <c r="G219" s="71"/>
    </row>
    <row r="220" ht="12.75">
      <c r="G220" s="71"/>
    </row>
    <row r="221" ht="12.75">
      <c r="G221" s="71"/>
    </row>
    <row r="222" ht="12.75">
      <c r="G222" s="71"/>
    </row>
    <row r="223" ht="12.75">
      <c r="G223" s="71"/>
    </row>
    <row r="224" ht="12.75">
      <c r="G224" s="71"/>
    </row>
    <row r="225" ht="12.75">
      <c r="G225" s="71"/>
    </row>
    <row r="226" ht="12.75">
      <c r="G226" s="71"/>
    </row>
    <row r="227" ht="12.75">
      <c r="G227" s="71"/>
    </row>
    <row r="228" ht="12.75">
      <c r="G228" s="71"/>
    </row>
    <row r="229" ht="12.75">
      <c r="G229" s="71"/>
    </row>
    <row r="230" ht="12.75">
      <c r="G230" s="71"/>
    </row>
    <row r="231" ht="12.75">
      <c r="G231" s="71"/>
    </row>
    <row r="232" ht="12.75">
      <c r="G232" s="71"/>
    </row>
    <row r="233" ht="12.75">
      <c r="G233" s="71"/>
    </row>
    <row r="234" ht="12.75">
      <c r="G234" s="71"/>
    </row>
    <row r="235" ht="12.75">
      <c r="G235" s="71"/>
    </row>
    <row r="236" ht="12.75">
      <c r="G236" s="71"/>
    </row>
    <row r="237" ht="12.75">
      <c r="G237" s="71"/>
    </row>
    <row r="238" ht="12.75">
      <c r="G238" s="71"/>
    </row>
    <row r="239" ht="12.75">
      <c r="G239" s="71"/>
    </row>
    <row r="240" ht="12.75">
      <c r="G240" s="71"/>
    </row>
    <row r="241" ht="12.75">
      <c r="G241" s="71"/>
    </row>
    <row r="242" ht="12.75">
      <c r="G242" s="71"/>
    </row>
    <row r="243" ht="12.75">
      <c r="G243" s="71"/>
    </row>
    <row r="244" ht="12.75">
      <c r="G244" s="71"/>
    </row>
    <row r="245" ht="12.75">
      <c r="G245" s="71"/>
    </row>
    <row r="246" ht="12.75">
      <c r="G246" s="71"/>
    </row>
    <row r="247" ht="12.75">
      <c r="G247" s="71"/>
    </row>
    <row r="248" ht="12.75">
      <c r="G248" s="71"/>
    </row>
    <row r="249" ht="12.75">
      <c r="G249" s="71"/>
    </row>
    <row r="250" ht="12.75">
      <c r="G250" s="71"/>
    </row>
    <row r="251" ht="12.75">
      <c r="G251" s="71"/>
    </row>
    <row r="252" ht="12.75">
      <c r="G252" s="71"/>
    </row>
    <row r="253" ht="12.75">
      <c r="G253" s="71"/>
    </row>
    <row r="254" ht="12.75">
      <c r="G254" s="71"/>
    </row>
    <row r="255" ht="12.75">
      <c r="G255" s="71"/>
    </row>
    <row r="256" ht="12.75">
      <c r="G256" s="71"/>
    </row>
    <row r="257" ht="12.75">
      <c r="G257" s="71"/>
    </row>
    <row r="258" ht="12.75">
      <c r="G258" s="71"/>
    </row>
    <row r="259" ht="12.75">
      <c r="G259" s="71"/>
    </row>
    <row r="260" ht="12.75">
      <c r="G260" s="71"/>
    </row>
    <row r="261" ht="12.75">
      <c r="G261" s="71"/>
    </row>
    <row r="262" ht="12.75">
      <c r="G262" s="71"/>
    </row>
    <row r="263" ht="12.75">
      <c r="G263" s="71"/>
    </row>
    <row r="264" ht="12.75">
      <c r="G264" s="71"/>
    </row>
    <row r="265" ht="12.75">
      <c r="G265" s="71"/>
    </row>
    <row r="266" ht="12.75">
      <c r="G266" s="71"/>
    </row>
    <row r="267" ht="12.75">
      <c r="G267" s="71"/>
    </row>
    <row r="268" ht="12.75">
      <c r="G268" s="71"/>
    </row>
    <row r="269" ht="12.75">
      <c r="G269" s="71"/>
    </row>
    <row r="270" ht="12.75">
      <c r="G270" s="71"/>
    </row>
    <row r="271" ht="12.75">
      <c r="G271" s="71"/>
    </row>
    <row r="272" ht="12.75">
      <c r="G272" s="71"/>
    </row>
    <row r="273" ht="12.75">
      <c r="G273" s="71"/>
    </row>
    <row r="274" ht="12.75">
      <c r="G274" s="71"/>
    </row>
    <row r="275" ht="12.75">
      <c r="G275" s="71"/>
    </row>
    <row r="276" ht="12.75">
      <c r="G276" s="71"/>
    </row>
    <row r="277" ht="12.75">
      <c r="G277" s="71"/>
    </row>
    <row r="278" ht="12.75">
      <c r="G278" s="71"/>
    </row>
    <row r="279" ht="12.75">
      <c r="G279" s="71"/>
    </row>
    <row r="280" ht="12.75">
      <c r="G280" s="71"/>
    </row>
    <row r="281" ht="12.75">
      <c r="G281" s="71"/>
    </row>
    <row r="282" ht="12.75">
      <c r="G282" s="71"/>
    </row>
    <row r="283" ht="12.75">
      <c r="G283" s="71"/>
    </row>
    <row r="284" ht="12.75">
      <c r="G284" s="71"/>
    </row>
    <row r="285" ht="12.75">
      <c r="G285" s="71"/>
    </row>
    <row r="286" ht="12.75">
      <c r="G286" s="71"/>
    </row>
    <row r="287" ht="12.75">
      <c r="G287" s="71"/>
    </row>
    <row r="288" ht="12.75">
      <c r="G288" s="71"/>
    </row>
    <row r="289" ht="12.75">
      <c r="G289" s="71"/>
    </row>
    <row r="290" ht="12.75">
      <c r="G290" s="71"/>
    </row>
    <row r="291" ht="12.75">
      <c r="G291" s="71"/>
    </row>
    <row r="292" ht="12.75">
      <c r="G292" s="71"/>
    </row>
    <row r="293" ht="12.75">
      <c r="G293" s="71"/>
    </row>
    <row r="294" ht="12.75">
      <c r="G294" s="71"/>
    </row>
    <row r="295" ht="12.75">
      <c r="G295" s="71"/>
    </row>
    <row r="296" ht="12.75">
      <c r="G296" s="71"/>
    </row>
    <row r="297" ht="12.75">
      <c r="G297" s="71"/>
    </row>
    <row r="298" ht="12.75">
      <c r="G298" s="71"/>
    </row>
    <row r="299" ht="12.75">
      <c r="G299" s="71"/>
    </row>
    <row r="300" ht="12.75">
      <c r="G300" s="71"/>
    </row>
    <row r="301" ht="12.75">
      <c r="G301" s="71"/>
    </row>
    <row r="302" ht="12.75">
      <c r="G302" s="71"/>
    </row>
    <row r="303" ht="12.75">
      <c r="G303" s="71"/>
    </row>
    <row r="304" ht="12.75">
      <c r="G304" s="71"/>
    </row>
    <row r="305" ht="12.75">
      <c r="G305" s="71"/>
    </row>
    <row r="306" ht="12.75">
      <c r="G306" s="71"/>
    </row>
    <row r="307" ht="12.75">
      <c r="G307" s="71"/>
    </row>
    <row r="308" ht="12.75">
      <c r="G308" s="71"/>
    </row>
    <row r="309" ht="12.75">
      <c r="G309" s="71"/>
    </row>
    <row r="310" ht="12.75">
      <c r="G310" s="71"/>
    </row>
    <row r="311" ht="12.75">
      <c r="G311" s="71"/>
    </row>
    <row r="312" ht="12.75">
      <c r="G312" s="71"/>
    </row>
    <row r="313" ht="12.75">
      <c r="G313" s="71"/>
    </row>
    <row r="314" ht="12.75">
      <c r="G314" s="71"/>
    </row>
    <row r="315" ht="12.75">
      <c r="G315" s="71"/>
    </row>
    <row r="316" ht="12.75">
      <c r="G316" s="71"/>
    </row>
    <row r="317" ht="12.75">
      <c r="G317" s="71"/>
    </row>
    <row r="318" ht="12.75">
      <c r="G318" s="71"/>
    </row>
    <row r="319" ht="12.75">
      <c r="G319" s="71"/>
    </row>
    <row r="320" ht="12.75">
      <c r="G320" s="71"/>
    </row>
    <row r="321" ht="12.75">
      <c r="G321" s="71"/>
    </row>
    <row r="322" ht="12.75">
      <c r="G322" s="71"/>
    </row>
    <row r="323" ht="12.75">
      <c r="G323" s="71"/>
    </row>
    <row r="324" ht="12.75">
      <c r="G324" s="71"/>
    </row>
    <row r="325" ht="12.75">
      <c r="G325" s="71"/>
    </row>
    <row r="326" ht="12.75">
      <c r="G326" s="71"/>
    </row>
    <row r="327" ht="12.75">
      <c r="G327" s="71"/>
    </row>
    <row r="328" ht="12.75">
      <c r="G328" s="71"/>
    </row>
    <row r="329" ht="12.75">
      <c r="G329" s="71"/>
    </row>
    <row r="330" ht="12.75">
      <c r="G330" s="71"/>
    </row>
    <row r="331" ht="12.75">
      <c r="G331" s="71"/>
    </row>
    <row r="332" ht="12.75">
      <c r="G332" s="71"/>
    </row>
    <row r="333" ht="12.75">
      <c r="G333" s="71"/>
    </row>
    <row r="334" ht="12.75">
      <c r="G334" s="71"/>
    </row>
    <row r="335" ht="12.75">
      <c r="G335" s="71"/>
    </row>
    <row r="336" ht="12.75">
      <c r="G336" s="71"/>
    </row>
    <row r="337" ht="12.75">
      <c r="G337" s="71"/>
    </row>
    <row r="338" ht="12.75">
      <c r="G338" s="71"/>
    </row>
    <row r="339" ht="12.75">
      <c r="G339" s="71"/>
    </row>
    <row r="340" ht="12.75">
      <c r="G340" s="71"/>
    </row>
    <row r="341" ht="12.75">
      <c r="G341" s="71"/>
    </row>
    <row r="342" ht="12.75">
      <c r="G342" s="71"/>
    </row>
    <row r="343" ht="12.75">
      <c r="G343" s="71"/>
    </row>
    <row r="344" ht="12.75">
      <c r="G344" s="71"/>
    </row>
    <row r="345" ht="12.75">
      <c r="G345" s="71"/>
    </row>
    <row r="346" ht="12.75">
      <c r="G346" s="71"/>
    </row>
    <row r="347" ht="12.75">
      <c r="G347" s="71"/>
    </row>
    <row r="348" ht="12.75">
      <c r="G348" s="71"/>
    </row>
    <row r="349" ht="12.75">
      <c r="G349" s="71"/>
    </row>
    <row r="350" ht="12.75">
      <c r="G350" s="71"/>
    </row>
    <row r="351" ht="12.75">
      <c r="G351" s="71"/>
    </row>
    <row r="352" ht="12.75">
      <c r="G352" s="71"/>
    </row>
    <row r="353" ht="12.75">
      <c r="G353" s="71"/>
    </row>
    <row r="354" ht="12.75">
      <c r="G354" s="71"/>
    </row>
    <row r="355" ht="12.75">
      <c r="G355" s="71"/>
    </row>
    <row r="356" ht="12.75">
      <c r="G356" s="71"/>
    </row>
    <row r="357" ht="12.75">
      <c r="G357" s="71"/>
    </row>
    <row r="358" ht="12.75">
      <c r="G358" s="71"/>
    </row>
    <row r="359" ht="12.75">
      <c r="G359" s="71"/>
    </row>
    <row r="360" ht="12.75">
      <c r="G360" s="71"/>
    </row>
    <row r="361" ht="12.75">
      <c r="G361" s="71"/>
    </row>
    <row r="362" ht="12.75">
      <c r="G362" s="71"/>
    </row>
    <row r="363" ht="12.75">
      <c r="G363" s="71"/>
    </row>
    <row r="364" ht="12.75">
      <c r="G364" s="71"/>
    </row>
    <row r="365" ht="12.75">
      <c r="G365" s="71"/>
    </row>
    <row r="366" ht="12.75">
      <c r="G366" s="71"/>
    </row>
    <row r="367" ht="12.75">
      <c r="G367" s="71"/>
    </row>
    <row r="368" ht="12.75">
      <c r="G368" s="71"/>
    </row>
    <row r="369" ht="12.75">
      <c r="G369" s="71"/>
    </row>
    <row r="370" ht="12.75">
      <c r="G370" s="71"/>
    </row>
    <row r="371" ht="12.75">
      <c r="G371" s="71"/>
    </row>
    <row r="372" ht="12.75">
      <c r="G372" s="71"/>
    </row>
    <row r="373" ht="12.75">
      <c r="G373" s="71"/>
    </row>
    <row r="374" ht="12.75">
      <c r="G374" s="71"/>
    </row>
    <row r="375" ht="12.75">
      <c r="G375" s="71"/>
    </row>
    <row r="376" ht="12.75">
      <c r="G376" s="71"/>
    </row>
    <row r="377" ht="12.75">
      <c r="G377" s="71"/>
    </row>
    <row r="378" ht="12.75">
      <c r="G378" s="71"/>
    </row>
    <row r="379" ht="12.75">
      <c r="G379" s="71"/>
    </row>
    <row r="380" ht="12.75">
      <c r="G380" s="71"/>
    </row>
    <row r="381" ht="12.75">
      <c r="G381" s="71"/>
    </row>
    <row r="382" ht="12.75">
      <c r="G382" s="71"/>
    </row>
    <row r="383" ht="12.75">
      <c r="G383" s="71"/>
    </row>
    <row r="384" ht="12.75">
      <c r="G384" s="71"/>
    </row>
    <row r="385" ht="12.75">
      <c r="G385" s="71"/>
    </row>
    <row r="386" ht="12.75">
      <c r="G386" s="71"/>
    </row>
    <row r="387" ht="12.75">
      <c r="G387" s="71"/>
    </row>
    <row r="388" ht="12.75">
      <c r="G388" s="7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36" sqref="E36"/>
    </sheetView>
  </sheetViews>
  <sheetFormatPr defaultColWidth="11.00390625" defaultRowHeight="12"/>
  <cols>
    <col min="1" max="1" width="3.625" style="0" customWidth="1"/>
    <col min="2" max="2" width="12.00390625" style="0" customWidth="1"/>
    <col min="3" max="3" width="10.125" style="0" customWidth="1"/>
    <col min="4" max="4" width="14.625" style="0" customWidth="1"/>
    <col min="5" max="5" width="8.875" style="0" customWidth="1"/>
    <col min="6" max="6" width="1.875" style="0" customWidth="1"/>
    <col min="7" max="7" width="8.875" style="0" customWidth="1"/>
    <col min="8" max="8" width="10.625" style="0" customWidth="1"/>
    <col min="9" max="9" width="8.875" style="0" customWidth="1"/>
    <col min="10" max="10" width="7.375" style="0" customWidth="1"/>
    <col min="11" max="11" width="28.875" style="0" customWidth="1"/>
    <col min="12" max="16384" width="8.875" style="0" customWidth="1"/>
  </cols>
  <sheetData>
    <row r="1" ht="12.75">
      <c r="A1" s="10" t="s">
        <v>69</v>
      </c>
    </row>
    <row r="2" ht="12.75">
      <c r="B2" s="10"/>
    </row>
    <row r="3" spans="1:9" ht="12.75">
      <c r="A3" s="55"/>
      <c r="B3" s="88"/>
      <c r="C3" s="88"/>
      <c r="D3" s="88" t="s">
        <v>50</v>
      </c>
      <c r="E3" s="95"/>
      <c r="F3" s="97"/>
      <c r="G3" s="108" t="s">
        <v>57</v>
      </c>
      <c r="H3" s="96" t="s">
        <v>51</v>
      </c>
      <c r="I3" s="88"/>
    </row>
    <row r="4" spans="1:9" ht="12.75">
      <c r="A4" s="65"/>
      <c r="B4" s="37"/>
      <c r="C4" s="37"/>
      <c r="D4" s="37" t="s">
        <v>52</v>
      </c>
      <c r="E4" s="98" t="s">
        <v>70</v>
      </c>
      <c r="F4" s="97"/>
      <c r="G4" s="109" t="s">
        <v>71</v>
      </c>
      <c r="H4" s="99" t="s">
        <v>52</v>
      </c>
      <c r="I4" s="37" t="s">
        <v>70</v>
      </c>
    </row>
    <row r="5" spans="1:9" ht="12.75">
      <c r="A5" s="123" t="s">
        <v>78</v>
      </c>
      <c r="B5" s="42" t="s">
        <v>53</v>
      </c>
      <c r="C5" s="42" t="s">
        <v>54</v>
      </c>
      <c r="D5" s="42">
        <v>0.3</v>
      </c>
      <c r="E5" s="101" t="s">
        <v>56</v>
      </c>
      <c r="F5" s="113"/>
      <c r="G5" s="110">
        <v>0.2</v>
      </c>
      <c r="H5" s="101" t="s">
        <v>55</v>
      </c>
      <c r="I5" s="100" t="s">
        <v>56</v>
      </c>
    </row>
    <row r="6" spans="1:9" ht="12.75">
      <c r="A6" s="103">
        <v>1</v>
      </c>
      <c r="B6" s="18" t="s">
        <v>58</v>
      </c>
      <c r="C6" s="18">
        <v>800</v>
      </c>
      <c r="D6" s="102">
        <v>800</v>
      </c>
      <c r="E6" s="104"/>
      <c r="F6" s="63"/>
      <c r="G6" s="111"/>
      <c r="H6" s="75"/>
      <c r="I6" s="75"/>
    </row>
    <row r="7" spans="1:9" ht="12.75">
      <c r="A7" s="103">
        <v>2</v>
      </c>
      <c r="B7" s="18" t="s">
        <v>59</v>
      </c>
      <c r="C7" s="18">
        <v>725</v>
      </c>
      <c r="D7" s="102">
        <f>D$5*C6+(1-D$5)*D6</f>
        <v>800</v>
      </c>
      <c r="E7" s="105">
        <f aca="true" t="shared" si="0" ref="E7:E15">ABS(C7-D7)</f>
        <v>75</v>
      </c>
      <c r="F7" s="114"/>
      <c r="G7" s="112">
        <v>0</v>
      </c>
      <c r="H7" s="102">
        <v>800</v>
      </c>
      <c r="I7" s="102">
        <f>ABS(C7-H7)</f>
        <v>75</v>
      </c>
    </row>
    <row r="8" spans="1:9" ht="12.75">
      <c r="A8" s="103">
        <v>3</v>
      </c>
      <c r="B8" s="18" t="s">
        <v>60</v>
      </c>
      <c r="C8" s="18">
        <v>630</v>
      </c>
      <c r="D8" s="102">
        <f aca="true" t="shared" si="1" ref="D8:D16">D$5*C7+(1-D$5)*D7</f>
        <v>777.5</v>
      </c>
      <c r="E8" s="105">
        <f t="shared" si="0"/>
        <v>147.5</v>
      </c>
      <c r="F8" s="114"/>
      <c r="G8" s="112">
        <f>G$5*(D8-D7)+(1-G$5)*G7</f>
        <v>-4.5</v>
      </c>
      <c r="H8" s="102">
        <f>D8+G8</f>
        <v>773</v>
      </c>
      <c r="I8" s="102">
        <f aca="true" t="shared" si="2" ref="I8:I15">ABS(C8-H8)</f>
        <v>143</v>
      </c>
    </row>
    <row r="9" spans="1:9" ht="12.75">
      <c r="A9" s="103">
        <v>4</v>
      </c>
      <c r="B9" s="18" t="s">
        <v>61</v>
      </c>
      <c r="C9" s="18">
        <v>500</v>
      </c>
      <c r="D9" s="102">
        <f t="shared" si="1"/>
        <v>733.25</v>
      </c>
      <c r="E9" s="105">
        <f t="shared" si="0"/>
        <v>233.25</v>
      </c>
      <c r="F9" s="114"/>
      <c r="G9" s="112">
        <f aca="true" t="shared" si="3" ref="G9:G16">G$5*(D9-D8)+(1-G$5)*G8</f>
        <v>-12.45</v>
      </c>
      <c r="H9" s="102">
        <f aca="true" t="shared" si="4" ref="H9:H16">D9+G9</f>
        <v>720.8</v>
      </c>
      <c r="I9" s="102">
        <f t="shared" si="2"/>
        <v>220.79999999999995</v>
      </c>
    </row>
    <row r="10" spans="1:9" ht="12.75">
      <c r="A10" s="103">
        <v>5</v>
      </c>
      <c r="B10" s="18" t="s">
        <v>62</v>
      </c>
      <c r="C10" s="18">
        <v>645</v>
      </c>
      <c r="D10" s="102">
        <f t="shared" si="1"/>
        <v>663.275</v>
      </c>
      <c r="E10" s="105">
        <f t="shared" si="0"/>
        <v>18.274999999999977</v>
      </c>
      <c r="F10" s="114"/>
      <c r="G10" s="112">
        <f t="shared" si="3"/>
        <v>-23.955000000000005</v>
      </c>
      <c r="H10" s="102">
        <f t="shared" si="4"/>
        <v>639.3199999999999</v>
      </c>
      <c r="I10" s="102">
        <f t="shared" si="2"/>
        <v>5.680000000000064</v>
      </c>
    </row>
    <row r="11" spans="1:9" ht="12.75">
      <c r="A11" s="103">
        <v>6</v>
      </c>
      <c r="B11" s="18" t="s">
        <v>63</v>
      </c>
      <c r="C11" s="18">
        <v>690</v>
      </c>
      <c r="D11" s="102">
        <f t="shared" si="1"/>
        <v>657.7925</v>
      </c>
      <c r="E11" s="105">
        <f t="shared" si="0"/>
        <v>32.20749999999998</v>
      </c>
      <c r="F11" s="114"/>
      <c r="G11" s="112">
        <f t="shared" si="3"/>
        <v>-20.260499999999997</v>
      </c>
      <c r="H11" s="102">
        <f t="shared" si="4"/>
        <v>637.532</v>
      </c>
      <c r="I11" s="102">
        <f t="shared" si="2"/>
        <v>52.46799999999996</v>
      </c>
    </row>
    <row r="12" spans="1:9" ht="12.75">
      <c r="A12" s="103">
        <v>7</v>
      </c>
      <c r="B12" s="18" t="s">
        <v>64</v>
      </c>
      <c r="C12" s="18">
        <v>730</v>
      </c>
      <c r="D12" s="102">
        <f t="shared" si="1"/>
        <v>667.45475</v>
      </c>
      <c r="E12" s="105">
        <f t="shared" si="0"/>
        <v>62.54525000000001</v>
      </c>
      <c r="F12" s="114"/>
      <c r="G12" s="112">
        <f t="shared" si="3"/>
        <v>-14.275950000000003</v>
      </c>
      <c r="H12" s="102">
        <f t="shared" si="4"/>
        <v>653.1788</v>
      </c>
      <c r="I12" s="102">
        <f t="shared" si="2"/>
        <v>76.82119999999998</v>
      </c>
    </row>
    <row r="13" spans="1:9" ht="12.75">
      <c r="A13" s="103">
        <v>8</v>
      </c>
      <c r="B13" s="18" t="s">
        <v>65</v>
      </c>
      <c r="C13" s="18">
        <v>810</v>
      </c>
      <c r="D13" s="102">
        <f t="shared" si="1"/>
        <v>686.2183249999999</v>
      </c>
      <c r="E13" s="105">
        <f t="shared" si="0"/>
        <v>123.78167500000006</v>
      </c>
      <c r="F13" s="114"/>
      <c r="G13" s="112">
        <f t="shared" si="3"/>
        <v>-7.6680450000000135</v>
      </c>
      <c r="H13" s="102">
        <f t="shared" si="4"/>
        <v>678.5502799999999</v>
      </c>
      <c r="I13" s="102">
        <f t="shared" si="2"/>
        <v>131.44972000000007</v>
      </c>
    </row>
    <row r="14" spans="1:9" ht="12.75">
      <c r="A14" s="103">
        <v>9</v>
      </c>
      <c r="B14" s="18" t="s">
        <v>66</v>
      </c>
      <c r="C14" s="18">
        <v>1200</v>
      </c>
      <c r="D14" s="102">
        <f t="shared" si="1"/>
        <v>723.3528274999999</v>
      </c>
      <c r="E14" s="106">
        <f t="shared" si="0"/>
        <v>476.6471725000001</v>
      </c>
      <c r="F14" s="115"/>
      <c r="G14" s="112">
        <f t="shared" si="3"/>
        <v>1.2924644999999764</v>
      </c>
      <c r="H14" s="102">
        <f t="shared" si="4"/>
        <v>724.6452919999998</v>
      </c>
      <c r="I14" s="102">
        <f t="shared" si="2"/>
        <v>475.3547080000002</v>
      </c>
    </row>
    <row r="15" spans="1:9" ht="12.75">
      <c r="A15" s="103">
        <v>10</v>
      </c>
      <c r="B15" s="75" t="s">
        <v>67</v>
      </c>
      <c r="C15" s="75">
        <v>980</v>
      </c>
      <c r="D15" s="102">
        <f t="shared" si="1"/>
        <v>866.3469792499999</v>
      </c>
      <c r="E15" s="106">
        <f t="shared" si="0"/>
        <v>113.65302075000011</v>
      </c>
      <c r="F15" s="115"/>
      <c r="G15" s="112">
        <f t="shared" si="3"/>
        <v>29.632801949999983</v>
      </c>
      <c r="H15" s="102">
        <f t="shared" si="4"/>
        <v>895.9797811999998</v>
      </c>
      <c r="I15" s="102">
        <f t="shared" si="2"/>
        <v>84.02021880000018</v>
      </c>
    </row>
    <row r="16" spans="1:9" ht="12.75">
      <c r="A16" s="103">
        <v>11</v>
      </c>
      <c r="B16" s="75" t="s">
        <v>68</v>
      </c>
      <c r="C16" s="107"/>
      <c r="D16" s="116">
        <f t="shared" si="1"/>
        <v>900.4428854749999</v>
      </c>
      <c r="E16" s="34"/>
      <c r="F16" s="65"/>
      <c r="G16" s="112">
        <f t="shared" si="3"/>
        <v>30.52542280499999</v>
      </c>
      <c r="H16" s="117">
        <f t="shared" si="4"/>
        <v>930.9683082799999</v>
      </c>
      <c r="I16" s="103"/>
    </row>
    <row r="17" spans="4:8" ht="12.75">
      <c r="D17" s="118" t="s">
        <v>86</v>
      </c>
      <c r="H17" s="118" t="s">
        <v>93</v>
      </c>
    </row>
    <row r="18" spans="4:8" ht="12.75">
      <c r="D18" s="122"/>
      <c r="H18" s="122"/>
    </row>
    <row r="20" spans="2:4" ht="12.75">
      <c r="B20" s="120" t="s">
        <v>94</v>
      </c>
      <c r="C20" s="62" t="s">
        <v>75</v>
      </c>
      <c r="D20" s="93" t="s">
        <v>74</v>
      </c>
    </row>
    <row r="21" spans="2:9" ht="12.75">
      <c r="B21" s="119" t="s">
        <v>72</v>
      </c>
      <c r="C21" s="77">
        <f>AVERAGE(E7:E15)</f>
        <v>142.53995758333335</v>
      </c>
      <c r="D21" s="116">
        <f>AVERAGE(I7:I15)</f>
        <v>140.51042742222228</v>
      </c>
      <c r="I21" s="7"/>
    </row>
    <row r="22" spans="2:4" ht="12.75">
      <c r="B22" s="119" t="s">
        <v>73</v>
      </c>
      <c r="C22" s="30">
        <f>SUM(E7:E15)/SUM(C7:C15)</f>
        <v>0.1856526220332851</v>
      </c>
      <c r="D22" s="121">
        <f>SUM(I7:I15)/SUM(C7:C15)</f>
        <v>0.18300923976845157</v>
      </c>
    </row>
    <row r="25" spans="2:4" ht="12.75">
      <c r="B25" s="1" t="s">
        <v>76</v>
      </c>
      <c r="C25" s="2" t="s">
        <v>77</v>
      </c>
      <c r="D25">
        <f>AVERAGE(A6:A15)</f>
        <v>5.5</v>
      </c>
    </row>
    <row r="26" spans="3:4" ht="12.75">
      <c r="C26" s="2" t="s">
        <v>79</v>
      </c>
      <c r="D26">
        <f>AVERAGE(C6:C15)</f>
        <v>771</v>
      </c>
    </row>
    <row r="27" spans="3:4" ht="12.75">
      <c r="C27" s="2" t="s">
        <v>80</v>
      </c>
      <c r="D27">
        <f>COUNT(A6:A15)</f>
        <v>10</v>
      </c>
    </row>
    <row r="28" spans="3:4" ht="13.5">
      <c r="C28" s="124" t="s">
        <v>81</v>
      </c>
      <c r="D28">
        <f>SUMPRODUCT(A6:A15,C6:C15)</f>
        <v>45695</v>
      </c>
    </row>
    <row r="29" spans="3:4" ht="13.5">
      <c r="C29" s="124" t="s">
        <v>82</v>
      </c>
      <c r="D29">
        <f>SUMPRODUCT(A6:A15,A6:A15)</f>
        <v>385</v>
      </c>
    </row>
    <row r="30" ht="12.75">
      <c r="C30" s="2"/>
    </row>
    <row r="31" spans="3:5" ht="12.75">
      <c r="C31" s="2" t="s">
        <v>84</v>
      </c>
      <c r="D31" s="125">
        <f>(D28-D27*D25*D26)/(D29-D27*D25*D25)</f>
        <v>39.878787878787875</v>
      </c>
      <c r="E31" s="125">
        <f>SLOPE(C6:C15,A6:A15)</f>
        <v>39.878787878787875</v>
      </c>
    </row>
    <row r="32" spans="3:5" ht="12.75">
      <c r="C32" s="2" t="s">
        <v>83</v>
      </c>
      <c r="D32" s="125">
        <f>D26-D31*D25</f>
        <v>551.6666666666667</v>
      </c>
      <c r="E32" s="125">
        <f>INTERCEPT(C6:C15,A6:A15)</f>
        <v>551.6666666666667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2005-10-29T08:22:08Z</dcterms:created>
  <cp:category/>
  <cp:version/>
  <cp:contentType/>
  <cp:contentStatus/>
</cp:coreProperties>
</file>