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360" yWindow="65416" windowWidth="16620" windowHeight="18000" tabRatio="500" activeTab="2"/>
  </bookViews>
  <sheets>
    <sheet name="1" sheetId="1" r:id="rId1"/>
    <sheet name="2" sheetId="2" r:id="rId2"/>
    <sheet name="2a" sheetId="3" r:id="rId3"/>
    <sheet name="3" sheetId="4" r:id="rId4"/>
    <sheet name="4" sheetId="5" r:id="rId5"/>
    <sheet name="5" sheetId="6" r:id="rId6"/>
    <sheet name="6" sheetId="7" r:id="rId7"/>
    <sheet name="7" sheetId="8" r:id="rId8"/>
    <sheet name="8" sheetId="9" r:id="rId9"/>
  </sheets>
  <definedNames>
    <definedName name="Lookup">#REF!</definedName>
    <definedName name="solver_adj" localSheetId="1" hidden="1">'2'!$D$39:$D$40</definedName>
    <definedName name="solver_adj" localSheetId="2" hidden="1">'2a'!$C$7:$C$8</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st" localSheetId="1" hidden="1">1</definedName>
    <definedName name="solver_est" localSheetId="2" hidden="1">1</definedName>
    <definedName name="solver_itr" localSheetId="1" hidden="1">100</definedName>
    <definedName name="solver_itr" localSheetId="2" hidden="1">100</definedName>
    <definedName name="solver_lhs1" localSheetId="1" hidden="1">'2'!$D$39</definedName>
    <definedName name="solver_lhs1" localSheetId="2" hidden="1">'2a'!$D$8</definedName>
    <definedName name="solver_lhs2" localSheetId="1" hidden="1">'2'!$D$40</definedName>
    <definedName name="solver_lhs2" localSheetId="2" hidden="1">'2a'!$C$7</definedName>
    <definedName name="solver_lhs3" localSheetId="1" hidden="1">'2'!$E$39</definedName>
    <definedName name="solver_lhs3" localSheetId="2" hidden="1">'2a'!$C$8</definedName>
    <definedName name="solver_lhs4" localSheetId="1" hidden="1">'2'!$E$40</definedName>
    <definedName name="solver_lhs4" localSheetId="2" hidden="1">'2a'!$D$8</definedName>
    <definedName name="solver_lin" localSheetId="1" hidden="1">2</definedName>
    <definedName name="solver_lin" localSheetId="2" hidden="1">2</definedName>
    <definedName name="solver_neg" localSheetId="1" hidden="1">2</definedName>
    <definedName name="solver_neg" localSheetId="2" hidden="1">2</definedName>
    <definedName name="solver_num" localSheetId="1" hidden="1">4</definedName>
    <definedName name="solver_num" localSheetId="2" hidden="1">4</definedName>
    <definedName name="solver_nwt" localSheetId="1" hidden="1">1</definedName>
    <definedName name="solver_nwt" localSheetId="2" hidden="1">1</definedName>
    <definedName name="solver_opt" localSheetId="1" hidden="1">'2'!$D$41</definedName>
    <definedName name="solver_opt" localSheetId="2" hidden="1">'2a'!$C$9</definedName>
    <definedName name="solver_pre" localSheetId="1" hidden="1">0.000001</definedName>
    <definedName name="solver_pre" localSheetId="2" hidden="1">0.000001</definedName>
    <definedName name="solver_rel1" localSheetId="1" hidden="1">3</definedName>
    <definedName name="solver_rel1" localSheetId="2" hidden="1">2</definedName>
    <definedName name="solver_rel2" localSheetId="1" hidden="1">3</definedName>
    <definedName name="solver_rel2" localSheetId="2" hidden="1">3</definedName>
    <definedName name="solver_rel3" localSheetId="1" hidden="1">1</definedName>
    <definedName name="solver_rel3" localSheetId="2" hidden="1">3</definedName>
    <definedName name="solver_rel4" localSheetId="1" hidden="1">1</definedName>
    <definedName name="solver_rel4" localSheetId="2" hidden="1">2</definedName>
    <definedName name="solver_rhs1" localSheetId="1" hidden="1">0</definedName>
    <definedName name="solver_rhs1" localSheetId="2" hidden="1">'2a'!$E$8</definedName>
    <definedName name="solver_rhs2" localSheetId="1" hidden="1">0</definedName>
    <definedName name="solver_rhs2" localSheetId="2" hidden="1">0</definedName>
    <definedName name="solver_rhs3" localSheetId="1" hidden="1">'2'!$F$39</definedName>
    <definedName name="solver_rhs3" localSheetId="2" hidden="1">0</definedName>
    <definedName name="solver_rhs4" localSheetId="1" hidden="1">'2'!$F$40</definedName>
    <definedName name="solver_rhs4" localSheetId="2" hidden="1">'2a'!$E$8</definedName>
    <definedName name="solver_scl" localSheetId="1" hidden="1">2</definedName>
    <definedName name="solver_scl" localSheetId="2" hidden="1">2</definedName>
    <definedName name="solver_sho" localSheetId="1" hidden="1">2</definedName>
    <definedName name="solver_sho" localSheetId="2" hidden="1">2</definedName>
    <definedName name="solver_tim" localSheetId="1" hidden="1">100</definedName>
    <definedName name="solver_tim" localSheetId="2" hidden="1">100</definedName>
    <definedName name="solver_tol" localSheetId="1" hidden="1">0.05</definedName>
    <definedName name="solver_tol" localSheetId="2" hidden="1">0.05</definedName>
    <definedName name="solver_typ" localSheetId="1" hidden="1">1</definedName>
    <definedName name="solver_typ" localSheetId="2" hidden="1">1</definedName>
    <definedName name="solver_val" localSheetId="1" hidden="1">0</definedName>
    <definedName name="solver_val" localSheetId="2" hidden="1">0</definedName>
  </definedNames>
  <calcPr fullCalcOnLoad="1"/>
</workbook>
</file>

<file path=xl/sharedStrings.xml><?xml version="1.0" encoding="utf-8"?>
<sst xmlns="http://schemas.openxmlformats.org/spreadsheetml/2006/main" count="193" uniqueCount="150">
  <si>
    <t>Clearly, the labor hours constraint is badly broken, as if Excel decided to simply dismiss it. This is quite weird, since in other infeasible cases, the "Solver" does know how to report "no solution found".</t>
  </si>
  <si>
    <t>Also, I have not managed to reproduce the circumstances that had made "Solver" produce the sub-optimal solution [(x,y)=(20,0)], which I then thought to have derived analytically and so presented in class. Oh, well…</t>
  </si>
  <si>
    <t>To satisfy the labor hours, then 5 y ≤ 80 , or y ≤ 16 .</t>
  </si>
  <si>
    <t>Now, Z = 50 y clearly grows with increasing y, and since</t>
  </si>
  <si>
    <t>y = 16 in the maximal value permitted by the labor hours</t>
  </si>
  <si>
    <t>constraint, that's what y is going to be.</t>
  </si>
  <si>
    <t>Now, the profit could be increased if we could increase y.</t>
  </si>
  <si>
    <t>However, note that as y is increased, x is decreased: x = 20 – (5/4) y.</t>
  </si>
  <si>
    <t>So, y can be increased only while x is non-negative, and we reach the</t>
  </si>
  <si>
    <t>maximal value of y when x becomes zero: 0 = x = 20 - (5/4) y, which</t>
  </si>
  <si>
    <t>means that y = 20(4/5) = 16 — precisely the above solution!</t>
  </si>
  <si>
    <t>Now, the really annoying thing about this is that I have initially obtained</t>
  </si>
  <si>
    <t>the quoted result, (x,y) = (20,0), using Excel's "Solver", and which calculation</t>
  </si>
  <si>
    <t>Fulton</t>
  </si>
  <si>
    <t>Ray</t>
  </si>
  <si>
    <t>Scott</t>
  </si>
  <si>
    <t>I</t>
  </si>
  <si>
    <t>II</t>
  </si>
  <si>
    <t>III</t>
  </si>
  <si>
    <t>Course</t>
  </si>
  <si>
    <t>b</t>
  </si>
  <si>
    <t>c</t>
  </si>
  <si>
    <t>Regret:</t>
  </si>
  <si>
    <t>Max.Regret</t>
  </si>
  <si>
    <t>Weather Conditions</t>
  </si>
  <si>
    <t>Rain</t>
  </si>
  <si>
    <t>Overcast</t>
  </si>
  <si>
    <t>Sunshine</t>
  </si>
  <si>
    <t>Decision</t>
  </si>
  <si>
    <t>Sun visors</t>
  </si>
  <si>
    <t>Umbrellas</t>
  </si>
  <si>
    <t>EOL</t>
  </si>
  <si>
    <t>Linear</t>
  </si>
  <si>
    <t>Year</t>
  </si>
  <si>
    <t>Line</t>
  </si>
  <si>
    <t xml:space="preserve">MAD = </t>
  </si>
  <si>
    <t>Linear Trend Line:</t>
  </si>
  <si>
    <t>a =</t>
  </si>
  <si>
    <t>b =</t>
  </si>
  <si>
    <t>Occupancy Rate</t>
  </si>
  <si>
    <t>Problem 2</t>
  </si>
  <si>
    <t>subject to</t>
  </si>
  <si>
    <t>x=</t>
  </si>
  <si>
    <t>y=</t>
  </si>
  <si>
    <t>Select</t>
  </si>
  <si>
    <t>Problem 3</t>
  </si>
  <si>
    <t>p =</t>
  </si>
  <si>
    <t>n =</t>
  </si>
  <si>
    <t>r</t>
  </si>
  <si>
    <t>Binomial distribution</t>
  </si>
  <si>
    <t>(1-p) =</t>
  </si>
  <si>
    <t>per season</t>
  </si>
  <si>
    <t>per hot dog</t>
  </si>
  <si>
    <t>If she sold less than 2000 hot dogs per game</t>
  </si>
  <si>
    <t>she'd be in trouble.</t>
  </si>
  <si>
    <t>Labor constraint is broken!</t>
  </si>
  <si>
    <t>P(Cond &amp; West) =</t>
  </si>
  <si>
    <t>P(Fail &amp; West) =</t>
  </si>
  <si>
    <t>|Error|</t>
  </si>
  <si>
    <t>E=</t>
  </si>
  <si>
    <t>Correction, as pointed out in class [by E.N.].</t>
  </si>
  <si>
    <t>There is something fishy about "Solver":</t>
  </si>
  <si>
    <t>Hot dogs at a game easily sell for more than $0.88;</t>
  </si>
  <si>
    <t>up the price.</t>
  </si>
  <si>
    <t>Maximize Z = 30 x + 50 y</t>
  </si>
  <si>
    <t>4 x + 5 y ≤ 80</t>
  </si>
  <si>
    <t>labor hours</t>
  </si>
  <si>
    <t>material</t>
  </si>
  <si>
    <t>Following the hint:</t>
  </si>
  <si>
    <t>2 x + 1 y ≤ 100</t>
  </si>
  <si>
    <t>from the labor hours constraint.</t>
  </si>
  <si>
    <t>20 – (5/4) y</t>
  </si>
  <si>
    <t>0.10</t>
  </si>
  <si>
    <t>P(r=breakdown)</t>
  </si>
  <si>
    <t>Total=</t>
  </si>
  <si>
    <t xml:space="preserve">&lt;= Answer = </t>
  </si>
  <si>
    <t>East</t>
  </si>
  <si>
    <t>West</t>
  </si>
  <si>
    <t>Cond.P.</t>
  </si>
  <si>
    <t>P(East) =</t>
  </si>
  <si>
    <t>P(West) =</t>
  </si>
  <si>
    <t>P(Pass|East) =</t>
  </si>
  <si>
    <t>P(Cond|East) =</t>
  </si>
  <si>
    <t>P(Fail|East) =</t>
  </si>
  <si>
    <t>P(Cond|West) =</t>
  </si>
  <si>
    <t>P(Pass|West) =</t>
  </si>
  <si>
    <t xml:space="preserve">P(Fail|West) = </t>
  </si>
  <si>
    <t>P(Pass &amp; East) =</t>
  </si>
  <si>
    <t>P(Fail &amp; East) =</t>
  </si>
  <si>
    <t>P(Pass &amp; West) =</t>
  </si>
  <si>
    <t>P(East|Fail) =</t>
  </si>
  <si>
    <t xml:space="preserve"> = P(East &amp; Fail) / P(Fail)</t>
  </si>
  <si>
    <t xml:space="preserve">P(45 ≤ x ≤ 55) = </t>
  </si>
  <si>
    <r>
      <t>m</t>
    </r>
    <r>
      <rPr>
        <sz val="9"/>
        <rFont val="Geneva"/>
        <family val="0"/>
      </rPr>
      <t>=50</t>
    </r>
  </si>
  <si>
    <r>
      <t>s</t>
    </r>
    <r>
      <rPr>
        <sz val="9"/>
        <rFont val="Geneva"/>
        <family val="0"/>
      </rPr>
      <t>=3</t>
    </r>
  </si>
  <si>
    <t>  55</t>
  </si>
  <si>
    <t>–5/3</t>
  </si>
  <si>
    <t xml:space="preserve"> +5/3</t>
  </si>
  <si>
    <t>Problem 4</t>
  </si>
  <si>
    <t>Mean =</t>
  </si>
  <si>
    <t>Standard deviation =</t>
  </si>
  <si>
    <t>X =</t>
  </si>
  <si>
    <t xml:space="preserve">Z = </t>
  </si>
  <si>
    <t xml:space="preserve">Normal table value = </t>
  </si>
  <si>
    <t>Problem 5</t>
  </si>
  <si>
    <t>Normal Distribution</t>
  </si>
  <si>
    <t>z=</t>
  </si>
  <si>
    <t>Pass</t>
  </si>
  <si>
    <t>Fail</t>
  </si>
  <si>
    <t>(a)</t>
  </si>
  <si>
    <t>(b)</t>
  </si>
  <si>
    <t>Problem 6</t>
  </si>
  <si>
    <t>EV</t>
  </si>
  <si>
    <t>Joint Probabilities</t>
  </si>
  <si>
    <t>Problem 7</t>
  </si>
  <si>
    <t>joint probabilities</t>
  </si>
  <si>
    <t>conditional probabilities
with district = condition</t>
  </si>
  <si>
    <t>Problem 8</t>
  </si>
  <si>
    <t>Exponentially</t>
  </si>
  <si>
    <t xml:space="preserve">Adjusted </t>
  </si>
  <si>
    <t>Smoothed</t>
  </si>
  <si>
    <t>Forecast</t>
  </si>
  <si>
    <t>Error</t>
  </si>
  <si>
    <r>
      <t xml:space="preserve">may you learn from my mistake: </t>
    </r>
    <r>
      <rPr>
        <sz val="9"/>
        <color indexed="10"/>
        <rFont val="Geneva"/>
        <family val="0"/>
      </rPr>
      <t>always check your calculations</t>
    </r>
    <r>
      <rPr>
        <sz val="9"/>
        <rFont val="Geneva"/>
        <family val="0"/>
      </rPr>
      <t>.</t>
    </r>
  </si>
  <si>
    <t>(The version of this formula shown in class had an algebraic mistake.)</t>
  </si>
  <si>
    <t>calculating "by hand", and have thus not checked my calculation. Oh, well:</t>
  </si>
  <si>
    <t>This is a "solution" when both constraints are made equalities.</t>
  </si>
  <si>
    <t>Now, when setting up solver correctly:</t>
  </si>
  <si>
    <t>the result does agree with the above, now correct calculation by hand.</t>
  </si>
  <si>
    <t>lhs</t>
  </si>
  <si>
    <t>rhs</t>
  </si>
  <si>
    <t>constraints</t>
  </si>
  <si>
    <t>0≤</t>
  </si>
  <si>
    <t>I have not saved. So, I was quite content when I (mistakenly) reproduced it</t>
  </si>
  <si>
    <t>Trend</t>
  </si>
  <si>
    <t>Problem 1</t>
  </si>
  <si>
    <t>a.</t>
  </si>
  <si>
    <t>cf=</t>
  </si>
  <si>
    <t>cv=</t>
  </si>
  <si>
    <t>p=</t>
  </si>
  <si>
    <t>Z=</t>
  </si>
  <si>
    <t>(Break-even)</t>
  </si>
  <si>
    <t>v=</t>
  </si>
  <si>
    <t>b.</t>
  </si>
  <si>
    <t>c.</t>
  </si>
  <si>
    <t>16 – (4/5) x</t>
  </si>
  <si>
    <t>30 x + 50(16 – (4/5)x) = 800 – 10 x</t>
  </si>
  <si>
    <t>Now the profit actually decreases with increasing x !</t>
  </si>
  <si>
    <t>Therefore, we best choose x = 0, and produce only y .</t>
  </si>
  <si>
    <t>30 (20 - (5/4) y) + 50 y = 600 + (50/4) 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</si>
</sst>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 numFmtId="167" formatCode="0.000E+00"/>
    <numFmt numFmtId="168" formatCode="0.000"/>
    <numFmt numFmtId="169" formatCode="0.0"/>
    <numFmt numFmtId="170" formatCode="0.000000"/>
    <numFmt numFmtId="171" formatCode="0.00000000"/>
    <numFmt numFmtId="172" formatCode="0.0000000000"/>
    <numFmt numFmtId="173" formatCode="#,##0.0000000000"/>
    <numFmt numFmtId="174" formatCode="#,##0.0000"/>
    <numFmt numFmtId="175" formatCode="0.000%"/>
  </numFmts>
  <fonts count="14">
    <font>
      <sz val="9"/>
      <name val="Geneva"/>
      <family val="0"/>
    </font>
    <font>
      <b/>
      <sz val="9"/>
      <name val="Geneva"/>
      <family val="0"/>
    </font>
    <font>
      <i/>
      <sz val="9"/>
      <name val="Geneva"/>
      <family val="0"/>
    </font>
    <font>
      <b/>
      <i/>
      <sz val="9"/>
      <name val="Geneva"/>
      <family val="0"/>
    </font>
    <font>
      <u val="single"/>
      <sz val="11.25"/>
      <color indexed="12"/>
      <name val="Geneva"/>
      <family val="0"/>
    </font>
    <font>
      <u val="single"/>
      <sz val="11.25"/>
      <color indexed="61"/>
      <name val="Geneva"/>
      <family val="0"/>
    </font>
    <font>
      <b/>
      <sz val="10"/>
      <name val="Arial"/>
      <family val="2"/>
    </font>
    <font>
      <sz val="8"/>
      <name val="Geneva"/>
      <family val="0"/>
    </font>
    <font>
      <i/>
      <sz val="10"/>
      <name val="Arial"/>
      <family val="2"/>
    </font>
    <font>
      <sz val="10"/>
      <name val="Arial"/>
      <family val="2"/>
    </font>
    <font>
      <sz val="9"/>
      <name val="Symbol"/>
      <family val="0"/>
    </font>
    <font>
      <sz val="9"/>
      <color indexed="18"/>
      <name val="Geneva"/>
      <family val="0"/>
    </font>
    <font>
      <sz val="8"/>
      <name val="Verdana"/>
      <family val="0"/>
    </font>
    <font>
      <sz val="9"/>
      <color indexed="10"/>
      <name val="Geneva"/>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2">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171">
    <xf numFmtId="0" fontId="0" fillId="0" borderId="0" xfId="0" applyAlignment="1">
      <alignment/>
    </xf>
    <xf numFmtId="0" fontId="1" fillId="0" borderId="0" xfId="0" applyFont="1" applyAlignment="1">
      <alignment horizontal="right"/>
    </xf>
    <xf numFmtId="0" fontId="0" fillId="0" borderId="0" xfId="0" applyAlignment="1">
      <alignment horizontal="right"/>
    </xf>
    <xf numFmtId="164" fontId="0" fillId="0" borderId="0" xfId="0" applyNumberFormat="1" applyAlignment="1">
      <alignment/>
    </xf>
    <xf numFmtId="4" fontId="0" fillId="0" borderId="0" xfId="0" applyNumberFormat="1" applyAlignment="1">
      <alignment/>
    </xf>
    <xf numFmtId="3" fontId="0" fillId="0" borderId="0" xfId="0" applyNumberFormat="1" applyAlignment="1">
      <alignment/>
    </xf>
    <xf numFmtId="49" fontId="0" fillId="0" borderId="0" xfId="0" applyNumberFormat="1" applyAlignment="1">
      <alignment/>
    </xf>
    <xf numFmtId="165" fontId="0" fillId="0" borderId="0" xfId="0" applyNumberFormat="1" applyAlignment="1">
      <alignment/>
    </xf>
    <xf numFmtId="0" fontId="6" fillId="0" borderId="0" xfId="0" applyFont="1" applyAlignment="1">
      <alignment/>
    </xf>
    <xf numFmtId="0" fontId="8" fillId="0" borderId="1" xfId="0" applyFont="1" applyBorder="1" applyAlignment="1">
      <alignment horizontal="right"/>
    </xf>
    <xf numFmtId="49" fontId="0" fillId="0" borderId="1" xfId="0" applyNumberFormat="1" applyBorder="1" applyAlignment="1">
      <alignment horizontal="left"/>
    </xf>
    <xf numFmtId="2" fontId="0" fillId="0" borderId="1" xfId="0" applyNumberFormat="1" applyBorder="1" applyAlignment="1">
      <alignment horizontal="left"/>
    </xf>
    <xf numFmtId="0" fontId="0" fillId="0" borderId="1" xfId="0" applyBorder="1" applyAlignment="1">
      <alignment horizontal="left"/>
    </xf>
    <xf numFmtId="0" fontId="8" fillId="0" borderId="1" xfId="0" applyFont="1" applyBorder="1" applyAlignment="1">
      <alignment horizontal="center"/>
    </xf>
    <xf numFmtId="0" fontId="9" fillId="0" borderId="1" xfId="0" applyFont="1" applyBorder="1" applyAlignment="1">
      <alignment horizontal="center"/>
    </xf>
    <xf numFmtId="0" fontId="0" fillId="0" borderId="1" xfId="0" applyBorder="1" applyAlignment="1">
      <alignment horizontal="center"/>
    </xf>
    <xf numFmtId="167" fontId="0" fillId="0" borderId="0" xfId="0" applyNumberFormat="1" applyAlignment="1">
      <alignment/>
    </xf>
    <xf numFmtId="0" fontId="0" fillId="0" borderId="0" xfId="0" applyBorder="1" applyAlignment="1">
      <alignment horizontal="center"/>
    </xf>
    <xf numFmtId="0" fontId="8" fillId="0" borderId="0" xfId="0" applyFont="1" applyAlignment="1">
      <alignment/>
    </xf>
    <xf numFmtId="10" fontId="1" fillId="0" borderId="0" xfId="0" applyNumberFormat="1" applyFont="1" applyAlignment="1">
      <alignment/>
    </xf>
    <xf numFmtId="10" fontId="1" fillId="0" borderId="1" xfId="0" applyNumberFormat="1" applyFont="1" applyBorder="1" applyAlignment="1">
      <alignment horizontal="center"/>
    </xf>
    <xf numFmtId="10" fontId="1" fillId="0" borderId="0" xfId="0" applyNumberFormat="1" applyFont="1" applyAlignment="1">
      <alignment horizontal="center"/>
    </xf>
    <xf numFmtId="10" fontId="1" fillId="2" borderId="1" xfId="0" applyNumberFormat="1" applyFont="1" applyFill="1" applyBorder="1" applyAlignment="1">
      <alignment horizontal="center"/>
    </xf>
    <xf numFmtId="0" fontId="10" fillId="0" borderId="0" xfId="0" applyFont="1" applyAlignment="1">
      <alignment/>
    </xf>
    <xf numFmtId="0" fontId="0" fillId="0" borderId="0" xfId="0" applyAlignment="1">
      <alignment horizontal="left"/>
    </xf>
    <xf numFmtId="10" fontId="0" fillId="0" borderId="1" xfId="0" applyNumberFormat="1" applyBorder="1" applyAlignment="1">
      <alignment horizontal="center"/>
    </xf>
    <xf numFmtId="0" fontId="0" fillId="0" borderId="2" xfId="0" applyBorder="1" applyAlignment="1">
      <alignment/>
    </xf>
    <xf numFmtId="0" fontId="0" fillId="0" borderId="3" xfId="0" applyBorder="1" applyAlignment="1">
      <alignment/>
    </xf>
    <xf numFmtId="0" fontId="0" fillId="0" borderId="0" xfId="0" applyAlignment="1">
      <alignment wrapText="1"/>
    </xf>
    <xf numFmtId="10" fontId="1" fillId="0" borderId="0" xfId="0" applyNumberFormat="1" applyFont="1" applyAlignment="1">
      <alignment wrapText="1"/>
    </xf>
    <xf numFmtId="0" fontId="0" fillId="0" borderId="4" xfId="0" applyBorder="1" applyAlignment="1">
      <alignment/>
    </xf>
    <xf numFmtId="0" fontId="0" fillId="0" borderId="5" xfId="0" applyBorder="1" applyAlignment="1">
      <alignment/>
    </xf>
    <xf numFmtId="10" fontId="1" fillId="0" borderId="5" xfId="0" applyNumberFormat="1"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10" fontId="1" fillId="0" borderId="6" xfId="0" applyNumberFormat="1" applyFont="1" applyBorder="1" applyAlignment="1">
      <alignment/>
    </xf>
    <xf numFmtId="10" fontId="1" fillId="0" borderId="8" xfId="0" applyNumberFormat="1" applyFont="1" applyBorder="1" applyAlignment="1">
      <alignment/>
    </xf>
    <xf numFmtId="10" fontId="1" fillId="0" borderId="10" xfId="0" applyNumberFormat="1" applyFont="1" applyBorder="1" applyAlignment="1">
      <alignment/>
    </xf>
    <xf numFmtId="10" fontId="0" fillId="0" borderId="4" xfId="0" applyNumberFormat="1" applyBorder="1" applyAlignment="1">
      <alignment/>
    </xf>
    <xf numFmtId="10" fontId="0" fillId="0" borderId="8" xfId="0" applyNumberFormat="1" applyBorder="1" applyAlignment="1">
      <alignment/>
    </xf>
    <xf numFmtId="10" fontId="0" fillId="0" borderId="7" xfId="0" applyNumberFormat="1" applyBorder="1" applyAlignment="1">
      <alignment/>
    </xf>
    <xf numFmtId="10" fontId="0" fillId="0" borderId="9" xfId="0" applyNumberFormat="1" applyBorder="1" applyAlignment="1">
      <alignment/>
    </xf>
    <xf numFmtId="10" fontId="0" fillId="0" borderId="11" xfId="0" applyNumberFormat="1" applyBorder="1" applyAlignment="1">
      <alignment/>
    </xf>
    <xf numFmtId="10" fontId="0" fillId="0" borderId="10" xfId="0" applyNumberFormat="1" applyBorder="1" applyAlignment="1">
      <alignment/>
    </xf>
    <xf numFmtId="49" fontId="0" fillId="0" borderId="0" xfId="0" applyNumberFormat="1" applyAlignment="1">
      <alignment horizontal="right"/>
    </xf>
    <xf numFmtId="49" fontId="0" fillId="0" borderId="4" xfId="0" applyNumberFormat="1" applyBorder="1" applyAlignment="1">
      <alignment/>
    </xf>
    <xf numFmtId="0" fontId="0" fillId="0" borderId="5" xfId="0" applyBorder="1" applyAlignment="1">
      <alignment horizontal="left"/>
    </xf>
    <xf numFmtId="49" fontId="0" fillId="0" borderId="7" xfId="0" applyNumberFormat="1" applyBorder="1" applyAlignment="1">
      <alignment/>
    </xf>
    <xf numFmtId="0" fontId="0" fillId="0" borderId="0" xfId="0" applyBorder="1" applyAlignment="1">
      <alignment horizontal="left"/>
    </xf>
    <xf numFmtId="49" fontId="0" fillId="0" borderId="9" xfId="0" applyNumberFormat="1" applyBorder="1" applyAlignment="1">
      <alignment/>
    </xf>
    <xf numFmtId="0" fontId="1" fillId="0" borderId="0" xfId="0" applyFont="1" applyAlignment="1">
      <alignment/>
    </xf>
    <xf numFmtId="173" fontId="0" fillId="0" borderId="1" xfId="0" applyNumberFormat="1" applyBorder="1" applyAlignment="1">
      <alignment horizontal="center"/>
    </xf>
    <xf numFmtId="10" fontId="0" fillId="0" borderId="0" xfId="0" applyNumberFormat="1" applyAlignment="1">
      <alignment/>
    </xf>
    <xf numFmtId="10" fontId="1" fillId="0" borderId="5" xfId="0" applyNumberFormat="1" applyFont="1" applyFill="1" applyBorder="1" applyAlignment="1">
      <alignment horizontal="center"/>
    </xf>
    <xf numFmtId="10" fontId="1" fillId="0" borderId="11" xfId="0" applyNumberFormat="1" applyFont="1" applyFill="1" applyBorder="1" applyAlignment="1">
      <alignment horizontal="center"/>
    </xf>
    <xf numFmtId="10" fontId="1" fillId="0" borderId="1" xfId="0" applyNumberFormat="1" applyFont="1" applyFill="1" applyBorder="1" applyAlignment="1">
      <alignment horizontal="center"/>
    </xf>
    <xf numFmtId="0" fontId="0" fillId="0" borderId="2" xfId="0" applyBorder="1" applyAlignment="1">
      <alignment horizontal="right"/>
    </xf>
    <xf numFmtId="10" fontId="1" fillId="0" borderId="2" xfId="0" applyNumberFormat="1" applyFont="1" applyBorder="1" applyAlignment="1">
      <alignment/>
    </xf>
    <xf numFmtId="0" fontId="0" fillId="0" borderId="12" xfId="0" applyBorder="1" applyAlignment="1">
      <alignment/>
    </xf>
    <xf numFmtId="174" fontId="0" fillId="0" borderId="1" xfId="0" applyNumberFormat="1" applyBorder="1" applyAlignment="1">
      <alignment horizontal="center"/>
    </xf>
    <xf numFmtId="0" fontId="1" fillId="0" borderId="11" xfId="0" applyFont="1" applyBorder="1" applyAlignment="1">
      <alignment/>
    </xf>
    <xf numFmtId="0" fontId="1" fillId="0" borderId="10" xfId="0" applyFont="1" applyBorder="1" applyAlignment="1">
      <alignment horizontal="right"/>
    </xf>
    <xf numFmtId="0" fontId="1"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 fillId="2" borderId="1" xfId="0" applyFont="1" applyFill="1" applyBorder="1" applyAlignment="1">
      <alignment/>
    </xf>
    <xf numFmtId="0" fontId="1" fillId="0" borderId="7" xfId="0" applyFont="1" applyFill="1" applyBorder="1" applyAlignment="1">
      <alignment/>
    </xf>
    <xf numFmtId="0" fontId="1" fillId="2" borderId="3" xfId="0" applyFont="1" applyFill="1" applyBorder="1" applyAlignment="1">
      <alignment/>
    </xf>
    <xf numFmtId="0" fontId="6" fillId="0" borderId="0" xfId="21" applyFont="1">
      <alignment/>
      <protection/>
    </xf>
    <xf numFmtId="0" fontId="9" fillId="0" borderId="0" xfId="21">
      <alignment/>
      <protection/>
    </xf>
    <xf numFmtId="0" fontId="6" fillId="0" borderId="0" xfId="21" applyFont="1" applyAlignment="1">
      <alignment horizontal="center"/>
      <protection/>
    </xf>
    <xf numFmtId="0" fontId="9" fillId="0" borderId="13" xfId="21" applyBorder="1">
      <alignment/>
      <protection/>
    </xf>
    <xf numFmtId="0" fontId="9" fillId="0" borderId="14" xfId="21" applyBorder="1" applyAlignment="1">
      <alignment horizontal="center"/>
      <protection/>
    </xf>
    <xf numFmtId="0" fontId="8" fillId="0" borderId="15" xfId="21" applyFont="1" applyBorder="1" applyAlignment="1">
      <alignment horizontal="center"/>
      <protection/>
    </xf>
    <xf numFmtId="2" fontId="9" fillId="0" borderId="1" xfId="21" applyNumberFormat="1" applyBorder="1" applyAlignment="1">
      <alignment horizontal="center"/>
      <protection/>
    </xf>
    <xf numFmtId="0" fontId="9" fillId="0" borderId="1" xfId="21" applyBorder="1" applyAlignment="1">
      <alignment horizontal="center"/>
      <protection/>
    </xf>
    <xf numFmtId="0" fontId="9" fillId="0" borderId="15" xfId="21" applyBorder="1" applyAlignment="1">
      <alignment horizontal="center"/>
      <protection/>
    </xf>
    <xf numFmtId="0" fontId="8" fillId="0" borderId="0" xfId="21" applyFont="1" applyAlignment="1">
      <alignment horizontal="center"/>
      <protection/>
    </xf>
    <xf numFmtId="164" fontId="9" fillId="0" borderId="1" xfId="21" applyNumberFormat="1" applyBorder="1" applyAlignment="1">
      <alignment horizontal="center"/>
      <protection/>
    </xf>
    <xf numFmtId="164" fontId="6" fillId="0" borderId="1" xfId="21" applyNumberFormat="1" applyFont="1" applyBorder="1" applyAlignment="1">
      <alignment horizontal="center"/>
      <protection/>
    </xf>
    <xf numFmtId="0" fontId="6" fillId="0" borderId="0" xfId="22" applyFont="1">
      <alignment/>
      <protection/>
    </xf>
    <xf numFmtId="0" fontId="9" fillId="0" borderId="0" xfId="22">
      <alignment/>
      <protection/>
    </xf>
    <xf numFmtId="0" fontId="8" fillId="0" borderId="0" xfId="22" applyFont="1" applyAlignment="1">
      <alignment horizontal="right"/>
      <protection/>
    </xf>
    <xf numFmtId="0" fontId="9" fillId="0" borderId="0" xfId="22" applyAlignment="1">
      <alignment horizontal="center"/>
      <protection/>
    </xf>
    <xf numFmtId="0" fontId="8" fillId="0" borderId="0" xfId="22" applyFont="1" applyBorder="1" applyAlignment="1">
      <alignment horizontal="right"/>
      <protection/>
    </xf>
    <xf numFmtId="0" fontId="9" fillId="0" borderId="0" xfId="22" applyBorder="1" applyAlignment="1">
      <alignment horizontal="center"/>
      <protection/>
    </xf>
    <xf numFmtId="168" fontId="9" fillId="0" borderId="0" xfId="22" applyNumberFormat="1" applyAlignment="1">
      <alignment horizontal="center"/>
      <protection/>
    </xf>
    <xf numFmtId="0" fontId="8" fillId="0" borderId="13" xfId="22" applyFont="1" applyBorder="1" applyAlignment="1">
      <alignment horizontal="center"/>
      <protection/>
    </xf>
    <xf numFmtId="0" fontId="8" fillId="0" borderId="13" xfId="22" applyFont="1" applyBorder="1">
      <alignment/>
      <protection/>
    </xf>
    <xf numFmtId="0" fontId="8" fillId="0" borderId="4" xfId="22" applyFont="1" applyBorder="1">
      <alignment/>
      <protection/>
    </xf>
    <xf numFmtId="0" fontId="8" fillId="0" borderId="4" xfId="22" applyFont="1" applyBorder="1" applyAlignment="1">
      <alignment horizontal="center"/>
      <protection/>
    </xf>
    <xf numFmtId="0" fontId="8" fillId="0" borderId="14" xfId="22" applyFont="1" applyBorder="1" applyAlignment="1">
      <alignment horizontal="center"/>
      <protection/>
    </xf>
    <xf numFmtId="0" fontId="8" fillId="0" borderId="14" xfId="22" applyFont="1" applyBorder="1">
      <alignment/>
      <protection/>
    </xf>
    <xf numFmtId="0" fontId="8" fillId="0" borderId="7" xfId="22" applyFont="1" applyBorder="1">
      <alignment/>
      <protection/>
    </xf>
    <xf numFmtId="0" fontId="8" fillId="0" borderId="7" xfId="22" applyFont="1" applyBorder="1" applyAlignment="1">
      <alignment horizontal="center"/>
      <protection/>
    </xf>
    <xf numFmtId="0" fontId="8" fillId="0" borderId="15" xfId="22" applyFont="1" applyBorder="1" applyAlignment="1">
      <alignment horizontal="center"/>
      <protection/>
    </xf>
    <xf numFmtId="0" fontId="8" fillId="0" borderId="9" xfId="22" applyFont="1" applyFill="1" applyBorder="1" applyAlignment="1">
      <alignment horizontal="center"/>
      <protection/>
    </xf>
    <xf numFmtId="0" fontId="8" fillId="0" borderId="0" xfId="22" applyFont="1" applyFill="1" applyBorder="1" applyAlignment="1">
      <alignment horizontal="right"/>
      <protection/>
    </xf>
    <xf numFmtId="168" fontId="9" fillId="0" borderId="0" xfId="22" applyNumberFormat="1" applyFill="1" applyBorder="1" applyAlignment="1">
      <alignment horizontal="center"/>
      <protection/>
    </xf>
    <xf numFmtId="0" fontId="9" fillId="0" borderId="1" xfId="22" applyBorder="1" applyAlignment="1">
      <alignment horizontal="center"/>
      <protection/>
    </xf>
    <xf numFmtId="2" fontId="9" fillId="0" borderId="1" xfId="22" applyNumberFormat="1" applyFill="1" applyBorder="1" applyAlignment="1">
      <alignment horizontal="center"/>
      <protection/>
    </xf>
    <xf numFmtId="0" fontId="9" fillId="0" borderId="1" xfId="22" applyFill="1" applyBorder="1" applyAlignment="1">
      <alignment horizontal="center"/>
      <protection/>
    </xf>
    <xf numFmtId="0" fontId="9" fillId="0" borderId="0" xfId="22" applyBorder="1">
      <alignment/>
      <protection/>
    </xf>
    <xf numFmtId="0" fontId="9" fillId="0" borderId="0" xfId="22" applyFill="1" applyBorder="1" applyAlignment="1">
      <alignment horizontal="center"/>
      <protection/>
    </xf>
    <xf numFmtId="2" fontId="8" fillId="0" borderId="1" xfId="22" applyNumberFormat="1" applyFont="1" applyFill="1" applyBorder="1" applyAlignment="1">
      <alignment horizontal="right"/>
      <protection/>
    </xf>
    <xf numFmtId="2" fontId="9" fillId="0" borderId="0" xfId="22" applyNumberFormat="1" applyFill="1" applyBorder="1" applyAlignment="1">
      <alignment horizontal="center"/>
      <protection/>
    </xf>
    <xf numFmtId="0" fontId="9" fillId="0" borderId="3" xfId="22" applyBorder="1">
      <alignment/>
      <protection/>
    </xf>
    <xf numFmtId="0" fontId="9" fillId="0" borderId="12" xfId="22" applyBorder="1">
      <alignment/>
      <protection/>
    </xf>
    <xf numFmtId="0" fontId="8" fillId="0" borderId="1" xfId="22" applyFont="1" applyBorder="1" applyAlignment="1">
      <alignment horizontal="right"/>
      <protection/>
    </xf>
    <xf numFmtId="0" fontId="8" fillId="0" borderId="0" xfId="22" applyFont="1" applyFill="1" applyBorder="1" applyAlignment="1">
      <alignment horizontal="centerContinuous"/>
      <protection/>
    </xf>
    <xf numFmtId="0" fontId="9" fillId="0" borderId="0" xfId="22" applyFill="1" applyBorder="1" applyAlignment="1">
      <alignment/>
      <protection/>
    </xf>
    <xf numFmtId="0" fontId="8" fillId="0" borderId="0" xfId="22" applyFont="1" applyFill="1" applyBorder="1" applyAlignment="1">
      <alignment horizontal="center"/>
      <protection/>
    </xf>
    <xf numFmtId="0" fontId="8" fillId="0" borderId="6" xfId="22" applyFont="1" applyBorder="1" applyAlignment="1">
      <alignment horizontal="center"/>
      <protection/>
    </xf>
    <xf numFmtId="0" fontId="9" fillId="0" borderId="13" xfId="22" applyBorder="1">
      <alignment/>
      <protection/>
    </xf>
    <xf numFmtId="0" fontId="8" fillId="0" borderId="14" xfId="22" applyFont="1" applyFill="1" applyBorder="1" applyAlignment="1">
      <alignment horizontal="center" vertical="center"/>
      <protection/>
    </xf>
    <xf numFmtId="2" fontId="8" fillId="0" borderId="9" xfId="22" applyNumberFormat="1" applyFont="1" applyFill="1" applyBorder="1" applyAlignment="1">
      <alignment horizontal="center"/>
      <protection/>
    </xf>
    <xf numFmtId="2" fontId="6" fillId="0" borderId="15" xfId="22" applyNumberFormat="1" applyFont="1" applyBorder="1" applyAlignment="1">
      <alignment horizontal="center"/>
      <protection/>
    </xf>
    <xf numFmtId="0" fontId="6" fillId="0" borderId="15" xfId="22" applyFont="1" applyFill="1" applyBorder="1" applyAlignment="1">
      <alignment horizontal="center" vertical="center"/>
      <protection/>
    </xf>
    <xf numFmtId="10" fontId="9" fillId="0" borderId="1" xfId="22" applyNumberFormat="1" applyFill="1" applyBorder="1" applyAlignment="1">
      <alignment horizontal="center"/>
      <protection/>
    </xf>
    <xf numFmtId="10" fontId="9" fillId="0" borderId="1" xfId="22" applyNumberFormat="1" applyBorder="1" applyAlignment="1">
      <alignment horizontal="center"/>
      <protection/>
    </xf>
    <xf numFmtId="175" fontId="9" fillId="0" borderId="1" xfId="22" applyNumberFormat="1" applyFill="1" applyBorder="1" applyAlignment="1">
      <alignment horizontal="center"/>
      <protection/>
    </xf>
    <xf numFmtId="175" fontId="9" fillId="0" borderId="1" xfId="22" applyNumberFormat="1" applyBorder="1" applyAlignment="1">
      <alignment horizontal="center"/>
      <protection/>
    </xf>
    <xf numFmtId="10" fontId="6" fillId="0" borderId="1" xfId="22" applyNumberFormat="1" applyFont="1" applyFill="1" applyBorder="1" applyAlignment="1">
      <alignment horizontal="center"/>
      <protection/>
    </xf>
    <xf numFmtId="0" fontId="0" fillId="0" borderId="4" xfId="0" applyBorder="1" applyAlignment="1">
      <alignment horizontal="right"/>
    </xf>
    <xf numFmtId="49" fontId="0" fillId="0" borderId="3" xfId="0" applyNumberFormat="1" applyBorder="1" applyAlignment="1">
      <alignment/>
    </xf>
    <xf numFmtId="0" fontId="0" fillId="0" borderId="12" xfId="0" applyBorder="1" applyAlignment="1">
      <alignment horizontal="left"/>
    </xf>
    <xf numFmtId="0" fontId="0" fillId="0" borderId="0" xfId="0" applyFont="1" applyAlignment="1">
      <alignment horizontal="left"/>
    </xf>
    <xf numFmtId="0" fontId="0" fillId="0" borderId="0" xfId="0" applyFont="1" applyAlignment="1">
      <alignment/>
    </xf>
    <xf numFmtId="164" fontId="0" fillId="0" borderId="11" xfId="0" applyNumberFormat="1" applyBorder="1" applyAlignment="1">
      <alignment horizontal="left"/>
    </xf>
    <xf numFmtId="164" fontId="0" fillId="0" borderId="10" xfId="0" applyNumberForma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6" fillId="0" borderId="0" xfId="0" applyFont="1" applyAlignment="1">
      <alignment vertical="top" wrapText="1"/>
    </xf>
    <xf numFmtId="0" fontId="8" fillId="0" borderId="3" xfId="0" applyFont="1" applyBorder="1" applyAlignment="1">
      <alignment horizontal="right"/>
    </xf>
    <xf numFmtId="0" fontId="8" fillId="0" borderId="12" xfId="0" applyFont="1" applyBorder="1" applyAlignment="1">
      <alignment horizontal="right"/>
    </xf>
    <xf numFmtId="0" fontId="8" fillId="0" borderId="1" xfId="0" applyFont="1" applyBorder="1" applyAlignment="1">
      <alignment horizontal="right"/>
    </xf>
    <xf numFmtId="0" fontId="0" fillId="0" borderId="0" xfId="0" applyAlignment="1">
      <alignment horizontal="center" vertical="center" wrapText="1"/>
    </xf>
    <xf numFmtId="0" fontId="11" fillId="3" borderId="3" xfId="0" applyFont="1" applyFill="1" applyBorder="1" applyAlignment="1">
      <alignment horizontal="center"/>
    </xf>
    <xf numFmtId="0" fontId="11" fillId="3" borderId="2" xfId="0" applyFont="1" applyFill="1" applyBorder="1" applyAlignment="1">
      <alignment horizontal="center"/>
    </xf>
    <xf numFmtId="0" fontId="11" fillId="3" borderId="12" xfId="0" applyFont="1" applyFill="1" applyBorder="1" applyAlignment="1">
      <alignment horizontal="center"/>
    </xf>
    <xf numFmtId="0" fontId="8" fillId="0" borderId="3" xfId="21" applyFont="1" applyBorder="1" applyAlignment="1">
      <alignment horizontal="center"/>
      <protection/>
    </xf>
    <xf numFmtId="0" fontId="8" fillId="0" borderId="2" xfId="21" applyFont="1" applyBorder="1" applyAlignment="1">
      <alignment horizontal="center"/>
      <protection/>
    </xf>
    <xf numFmtId="0" fontId="8" fillId="0" borderId="12" xfId="21" applyFont="1" applyBorder="1" applyAlignment="1">
      <alignment horizontal="center"/>
      <protection/>
    </xf>
    <xf numFmtId="0" fontId="8" fillId="0" borderId="14" xfId="22" applyFont="1" applyFill="1" applyBorder="1" applyAlignment="1">
      <alignment horizontal="center" vertical="center"/>
      <protection/>
    </xf>
    <xf numFmtId="0" fontId="8" fillId="0" borderId="15" xfId="22" applyFont="1" applyFill="1" applyBorder="1" applyAlignment="1">
      <alignment horizontal="center" vertical="center"/>
      <protection/>
    </xf>
    <xf numFmtId="0" fontId="8" fillId="0" borderId="14" xfId="22" applyFont="1" applyBorder="1" applyAlignment="1">
      <alignment horizontal="center" vertical="center" wrapText="1"/>
      <protection/>
    </xf>
    <xf numFmtId="0" fontId="8" fillId="0" borderId="15" xfId="22" applyFont="1" applyBorder="1" applyAlignment="1">
      <alignment horizontal="center" vertical="center" wrapText="1"/>
      <protection/>
    </xf>
    <xf numFmtId="0" fontId="8" fillId="0" borderId="14" xfId="22" applyFont="1" applyBorder="1" applyAlignment="1">
      <alignment horizontal="center" vertical="center"/>
      <protection/>
    </xf>
    <xf numFmtId="0" fontId="8" fillId="0" borderId="15" xfId="22" applyFont="1" applyBorder="1" applyAlignment="1">
      <alignment horizontal="center" vertical="center"/>
      <protection/>
    </xf>
    <xf numFmtId="2" fontId="8" fillId="0" borderId="3" xfId="22" applyNumberFormat="1" applyFont="1" applyFill="1" applyBorder="1" applyAlignment="1">
      <alignment horizontal="right"/>
      <protection/>
    </xf>
    <xf numFmtId="175" fontId="9" fillId="0" borderId="13" xfId="22" applyNumberFormat="1" applyFill="1" applyBorder="1" applyAlignment="1">
      <alignment horizontal="center"/>
      <protection/>
    </xf>
    <xf numFmtId="175" fontId="9" fillId="0" borderId="16" xfId="22" applyNumberFormat="1" applyFill="1" applyBorder="1" applyAlignment="1">
      <alignment horizontal="center"/>
      <protection/>
    </xf>
    <xf numFmtId="10" fontId="9" fillId="0" borderId="17" xfId="22" applyNumberFormat="1" applyBorder="1">
      <alignment/>
      <protection/>
    </xf>
    <xf numFmtId="0" fontId="9" fillId="0" borderId="18" xfId="22" applyFont="1" applyFill="1" applyBorder="1" applyAlignment="1">
      <alignment horizontal="center" wrapText="1"/>
      <protection/>
    </xf>
    <xf numFmtId="0" fontId="9" fillId="0" borderId="19" xfId="22" applyFill="1" applyBorder="1" applyAlignment="1">
      <alignment horizontal="center" wrapText="1"/>
      <protection/>
    </xf>
    <xf numFmtId="0" fontId="9" fillId="0" borderId="20" xfId="22" applyFill="1" applyBorder="1" applyAlignment="1">
      <alignment horizontal="center" wrapText="1"/>
      <protection/>
    </xf>
    <xf numFmtId="0" fontId="9" fillId="0" borderId="21" xfId="22" applyFill="1" applyBorder="1" applyAlignment="1">
      <alignment horizontal="center" wrapText="1"/>
      <protection/>
    </xf>
    <xf numFmtId="0" fontId="9" fillId="0" borderId="1" xfId="22" applyFont="1" applyBorder="1" applyAlignment="1">
      <alignment horizontal="center" vertical="center"/>
      <protection/>
    </xf>
    <xf numFmtId="0" fontId="9" fillId="0" borderId="1" xfId="22" applyBorder="1" applyAlignment="1">
      <alignment horizontal="center" vertical="center"/>
      <protection/>
    </xf>
    <xf numFmtId="10" fontId="9" fillId="0" borderId="1" xfId="22" applyNumberFormat="1" applyBorder="1">
      <alignment/>
      <protection/>
    </xf>
    <xf numFmtId="0" fontId="0" fillId="0" borderId="0" xfId="0" applyAlignment="1">
      <alignment horizontal="left" vertical="top" wrapText="1"/>
    </xf>
    <xf numFmtId="0" fontId="0" fillId="0" borderId="0" xfId="0"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HW12-16.xls" xfId="21"/>
    <cellStyle name="Normal_HW15-8.xl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25400">
                <a:solidFill>
                  <a:srgbClr val="DD0806"/>
                </a:solidFill>
                <a:prstDash val="dashDot"/>
              </a:ln>
            </c:spPr>
            <c:trendlineType val="linear"/>
            <c:dispEq val="0"/>
            <c:dispRSqr val="0"/>
          </c:trendline>
          <c:val>
            <c:numRef>
              <c:f>8!$B$9:$B$17</c:f>
              <c:numCache/>
            </c:numRef>
          </c:val>
          <c:smooth val="0"/>
        </c:ser>
        <c:marker val="1"/>
        <c:axId val="10519573"/>
        <c:axId val="27567294"/>
      </c:lineChart>
      <c:catAx>
        <c:axId val="10519573"/>
        <c:scaling>
          <c:orientation val="minMax"/>
        </c:scaling>
        <c:axPos val="b"/>
        <c:delete val="0"/>
        <c:numFmt formatCode="General" sourceLinked="1"/>
        <c:majorTickMark val="out"/>
        <c:minorTickMark val="none"/>
        <c:tickLblPos val="nextTo"/>
        <c:crossAx val="27567294"/>
        <c:crosses val="autoZero"/>
        <c:auto val="1"/>
        <c:lblOffset val="100"/>
        <c:noMultiLvlLbl val="0"/>
      </c:catAx>
      <c:valAx>
        <c:axId val="27567294"/>
        <c:scaling>
          <c:orientation val="minMax"/>
          <c:max val="0.95"/>
          <c:min val="0.7"/>
        </c:scaling>
        <c:axPos val="l"/>
        <c:majorGridlines/>
        <c:delete val="0"/>
        <c:numFmt formatCode="General" sourceLinked="1"/>
        <c:majorTickMark val="out"/>
        <c:minorTickMark val="none"/>
        <c:tickLblPos val="nextTo"/>
        <c:crossAx val="10519573"/>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43</xdr:row>
      <xdr:rowOff>57150</xdr:rowOff>
    </xdr:from>
    <xdr:to>
      <xdr:col>7</xdr:col>
      <xdr:colOff>571500</xdr:colOff>
      <xdr:row>59</xdr:row>
      <xdr:rowOff>142875</xdr:rowOff>
    </xdr:to>
    <xdr:pic>
      <xdr:nvPicPr>
        <xdr:cNvPr id="1" name="Picture 1"/>
        <xdr:cNvPicPr preferRelativeResize="1">
          <a:picLocks noChangeAspect="1"/>
        </xdr:cNvPicPr>
      </xdr:nvPicPr>
      <xdr:blipFill>
        <a:blip r:embed="rId1"/>
        <a:stretch>
          <a:fillRect/>
        </a:stretch>
      </xdr:blipFill>
      <xdr:spPr>
        <a:xfrm>
          <a:off x="85725" y="6953250"/>
          <a:ext cx="4524375" cy="2524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10</xdr:row>
      <xdr:rowOff>19050</xdr:rowOff>
    </xdr:from>
    <xdr:to>
      <xdr:col>7</xdr:col>
      <xdr:colOff>171450</xdr:colOff>
      <xdr:row>25</xdr:row>
      <xdr:rowOff>133350</xdr:rowOff>
    </xdr:to>
    <xdr:pic>
      <xdr:nvPicPr>
        <xdr:cNvPr id="1" name="Picture 1"/>
        <xdr:cNvPicPr preferRelativeResize="1">
          <a:picLocks noChangeAspect="1"/>
        </xdr:cNvPicPr>
      </xdr:nvPicPr>
      <xdr:blipFill>
        <a:blip r:embed="rId1"/>
        <a:stretch>
          <a:fillRect/>
        </a:stretch>
      </xdr:blipFill>
      <xdr:spPr>
        <a:xfrm>
          <a:off x="66675" y="1619250"/>
          <a:ext cx="4295775" cy="2400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152400</xdr:rowOff>
    </xdr:from>
    <xdr:to>
      <xdr:col>4</xdr:col>
      <xdr:colOff>0</xdr:colOff>
      <xdr:row>4</xdr:row>
      <xdr:rowOff>9525</xdr:rowOff>
    </xdr:to>
    <xdr:sp>
      <xdr:nvSpPr>
        <xdr:cNvPr id="1" name="Line 1"/>
        <xdr:cNvSpPr>
          <a:spLocks/>
        </xdr:cNvSpPr>
      </xdr:nvSpPr>
      <xdr:spPr>
        <a:xfrm flipV="1">
          <a:off x="2066925" y="609600"/>
          <a:ext cx="6762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0</xdr:colOff>
      <xdr:row>5</xdr:row>
      <xdr:rowOff>0</xdr:rowOff>
    </xdr:from>
    <xdr:to>
      <xdr:col>4</xdr:col>
      <xdr:colOff>0</xdr:colOff>
      <xdr:row>6</xdr:row>
      <xdr:rowOff>9525</xdr:rowOff>
    </xdr:to>
    <xdr:sp>
      <xdr:nvSpPr>
        <xdr:cNvPr id="2" name="Line 2"/>
        <xdr:cNvSpPr>
          <a:spLocks/>
        </xdr:cNvSpPr>
      </xdr:nvSpPr>
      <xdr:spPr>
        <a:xfrm>
          <a:off x="2057400" y="942975"/>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9525</xdr:colOff>
      <xdr:row>11</xdr:row>
      <xdr:rowOff>76200</xdr:rowOff>
    </xdr:from>
    <xdr:to>
      <xdr:col>4</xdr:col>
      <xdr:colOff>0</xdr:colOff>
      <xdr:row>11</xdr:row>
      <xdr:rowOff>76200</xdr:rowOff>
    </xdr:to>
    <xdr:sp>
      <xdr:nvSpPr>
        <xdr:cNvPr id="3" name="Line 4"/>
        <xdr:cNvSpPr>
          <a:spLocks/>
        </xdr:cNvSpPr>
      </xdr:nvSpPr>
      <xdr:spPr>
        <a:xfrm>
          <a:off x="2066925" y="197167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2</xdr:row>
      <xdr:rowOff>76200</xdr:rowOff>
    </xdr:from>
    <xdr:to>
      <xdr:col>8</xdr:col>
      <xdr:colOff>0</xdr:colOff>
      <xdr:row>2</xdr:row>
      <xdr:rowOff>76200</xdr:rowOff>
    </xdr:to>
    <xdr:sp>
      <xdr:nvSpPr>
        <xdr:cNvPr id="4" name="Line 5"/>
        <xdr:cNvSpPr>
          <a:spLocks/>
        </xdr:cNvSpPr>
      </xdr:nvSpPr>
      <xdr:spPr>
        <a:xfrm>
          <a:off x="4800600" y="5334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11</xdr:row>
      <xdr:rowOff>76200</xdr:rowOff>
    </xdr:from>
    <xdr:to>
      <xdr:col>8</xdr:col>
      <xdr:colOff>0</xdr:colOff>
      <xdr:row>11</xdr:row>
      <xdr:rowOff>76200</xdr:rowOff>
    </xdr:to>
    <xdr:sp>
      <xdr:nvSpPr>
        <xdr:cNvPr id="5" name="Line 6"/>
        <xdr:cNvSpPr>
          <a:spLocks/>
        </xdr:cNvSpPr>
      </xdr:nvSpPr>
      <xdr:spPr>
        <a:xfrm>
          <a:off x="4800600" y="19716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6</xdr:row>
      <xdr:rowOff>76200</xdr:rowOff>
    </xdr:from>
    <xdr:to>
      <xdr:col>8</xdr:col>
      <xdr:colOff>0</xdr:colOff>
      <xdr:row>6</xdr:row>
      <xdr:rowOff>76200</xdr:rowOff>
    </xdr:to>
    <xdr:sp>
      <xdr:nvSpPr>
        <xdr:cNvPr id="6" name="Line 8"/>
        <xdr:cNvSpPr>
          <a:spLocks/>
        </xdr:cNvSpPr>
      </xdr:nvSpPr>
      <xdr:spPr>
        <a:xfrm>
          <a:off x="4800600" y="11811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13</xdr:row>
      <xdr:rowOff>47625</xdr:rowOff>
    </xdr:from>
    <xdr:to>
      <xdr:col>8</xdr:col>
      <xdr:colOff>0</xdr:colOff>
      <xdr:row>13</xdr:row>
      <xdr:rowOff>47625</xdr:rowOff>
    </xdr:to>
    <xdr:sp>
      <xdr:nvSpPr>
        <xdr:cNvPr id="7" name="Line 11"/>
        <xdr:cNvSpPr>
          <a:spLocks/>
        </xdr:cNvSpPr>
      </xdr:nvSpPr>
      <xdr:spPr>
        <a:xfrm>
          <a:off x="4800600" y="22669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9</xdr:row>
      <xdr:rowOff>76200</xdr:rowOff>
    </xdr:from>
    <xdr:to>
      <xdr:col>8</xdr:col>
      <xdr:colOff>0</xdr:colOff>
      <xdr:row>9</xdr:row>
      <xdr:rowOff>76200</xdr:rowOff>
    </xdr:to>
    <xdr:sp>
      <xdr:nvSpPr>
        <xdr:cNvPr id="8" name="Line 12"/>
        <xdr:cNvSpPr>
          <a:spLocks/>
        </xdr:cNvSpPr>
      </xdr:nvSpPr>
      <xdr:spPr>
        <a:xfrm>
          <a:off x="4800600" y="16478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0</xdr:colOff>
      <xdr:row>10</xdr:row>
      <xdr:rowOff>0</xdr:rowOff>
    </xdr:from>
    <xdr:to>
      <xdr:col>4</xdr:col>
      <xdr:colOff>0</xdr:colOff>
      <xdr:row>11</xdr:row>
      <xdr:rowOff>9525</xdr:rowOff>
    </xdr:to>
    <xdr:sp>
      <xdr:nvSpPr>
        <xdr:cNvPr id="9" name="Line 13"/>
        <xdr:cNvSpPr>
          <a:spLocks/>
        </xdr:cNvSpPr>
      </xdr:nvSpPr>
      <xdr:spPr>
        <a:xfrm flipV="1">
          <a:off x="2057400" y="1733550"/>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9525</xdr:colOff>
      <xdr:row>12</xdr:row>
      <xdr:rowOff>0</xdr:rowOff>
    </xdr:from>
    <xdr:to>
      <xdr:col>3</xdr:col>
      <xdr:colOff>676275</xdr:colOff>
      <xdr:row>12</xdr:row>
      <xdr:rowOff>152400</xdr:rowOff>
    </xdr:to>
    <xdr:sp>
      <xdr:nvSpPr>
        <xdr:cNvPr id="10" name="Line 14"/>
        <xdr:cNvSpPr>
          <a:spLocks/>
        </xdr:cNvSpPr>
      </xdr:nvSpPr>
      <xdr:spPr>
        <a:xfrm>
          <a:off x="2066925" y="2057400"/>
          <a:ext cx="65722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13</xdr:row>
      <xdr:rowOff>47625</xdr:rowOff>
    </xdr:from>
    <xdr:to>
      <xdr:col>8</xdr:col>
      <xdr:colOff>0</xdr:colOff>
      <xdr:row>13</xdr:row>
      <xdr:rowOff>47625</xdr:rowOff>
    </xdr:to>
    <xdr:sp>
      <xdr:nvSpPr>
        <xdr:cNvPr id="11" name="Line 15"/>
        <xdr:cNvSpPr>
          <a:spLocks/>
        </xdr:cNvSpPr>
      </xdr:nvSpPr>
      <xdr:spPr>
        <a:xfrm>
          <a:off x="4800600" y="22669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9</xdr:row>
      <xdr:rowOff>76200</xdr:rowOff>
    </xdr:from>
    <xdr:to>
      <xdr:col>8</xdr:col>
      <xdr:colOff>0</xdr:colOff>
      <xdr:row>9</xdr:row>
      <xdr:rowOff>76200</xdr:rowOff>
    </xdr:to>
    <xdr:sp>
      <xdr:nvSpPr>
        <xdr:cNvPr id="12" name="Line 16"/>
        <xdr:cNvSpPr>
          <a:spLocks/>
        </xdr:cNvSpPr>
      </xdr:nvSpPr>
      <xdr:spPr>
        <a:xfrm>
          <a:off x="4800600" y="16478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4</xdr:row>
      <xdr:rowOff>76200</xdr:rowOff>
    </xdr:from>
    <xdr:to>
      <xdr:col>8</xdr:col>
      <xdr:colOff>0</xdr:colOff>
      <xdr:row>4</xdr:row>
      <xdr:rowOff>76200</xdr:rowOff>
    </xdr:to>
    <xdr:sp>
      <xdr:nvSpPr>
        <xdr:cNvPr id="13" name="Line 21"/>
        <xdr:cNvSpPr>
          <a:spLocks/>
        </xdr:cNvSpPr>
      </xdr:nvSpPr>
      <xdr:spPr>
        <a:xfrm>
          <a:off x="4800600" y="8572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9525</xdr:colOff>
      <xdr:row>4</xdr:row>
      <xdr:rowOff>76200</xdr:rowOff>
    </xdr:from>
    <xdr:to>
      <xdr:col>3</xdr:col>
      <xdr:colOff>676275</xdr:colOff>
      <xdr:row>4</xdr:row>
      <xdr:rowOff>76200</xdr:rowOff>
    </xdr:to>
    <xdr:sp>
      <xdr:nvSpPr>
        <xdr:cNvPr id="14" name="Line 22"/>
        <xdr:cNvSpPr>
          <a:spLocks/>
        </xdr:cNvSpPr>
      </xdr:nvSpPr>
      <xdr:spPr>
        <a:xfrm flipV="1">
          <a:off x="2066925" y="8572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10</xdr:row>
      <xdr:rowOff>114300</xdr:rowOff>
    </xdr:from>
    <xdr:to>
      <xdr:col>6</xdr:col>
      <xdr:colOff>685800</xdr:colOff>
      <xdr:row>10</xdr:row>
      <xdr:rowOff>114300</xdr:rowOff>
    </xdr:to>
    <xdr:sp>
      <xdr:nvSpPr>
        <xdr:cNvPr id="1" name="Line 1"/>
        <xdr:cNvSpPr>
          <a:spLocks/>
        </xdr:cNvSpPr>
      </xdr:nvSpPr>
      <xdr:spPr>
        <a:xfrm>
          <a:off x="3028950" y="1704975"/>
          <a:ext cx="279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523875</xdr:colOff>
      <xdr:row>2</xdr:row>
      <xdr:rowOff>142875</xdr:rowOff>
    </xdr:from>
    <xdr:to>
      <xdr:col>6</xdr:col>
      <xdr:colOff>466725</xdr:colOff>
      <xdr:row>10</xdr:row>
      <xdr:rowOff>28575</xdr:rowOff>
    </xdr:to>
    <xdr:sp>
      <xdr:nvSpPr>
        <xdr:cNvPr id="2" name="AutoShape 6"/>
        <xdr:cNvSpPr>
          <a:spLocks/>
        </xdr:cNvSpPr>
      </xdr:nvSpPr>
      <xdr:spPr>
        <a:xfrm>
          <a:off x="3028950" y="466725"/>
          <a:ext cx="2571750" cy="1152525"/>
        </a:xfrm>
        <a:custGeom>
          <a:pathLst>
            <a:path h="94" w="192">
              <a:moveTo>
                <a:pt x="0" y="93"/>
              </a:moveTo>
              <a:cubicBezTo>
                <a:pt x="7" y="92"/>
                <a:pt x="14" y="92"/>
                <a:pt x="29" y="77"/>
              </a:cubicBezTo>
              <a:cubicBezTo>
                <a:pt x="44" y="62"/>
                <a:pt x="70" y="0"/>
                <a:pt x="91" y="0"/>
              </a:cubicBezTo>
              <a:cubicBezTo>
                <a:pt x="112" y="0"/>
                <a:pt x="141" y="64"/>
                <a:pt x="158" y="79"/>
              </a:cubicBezTo>
              <a:cubicBezTo>
                <a:pt x="175" y="94"/>
                <a:pt x="186" y="88"/>
                <a:pt x="192" y="9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1</xdr:row>
      <xdr:rowOff>152400</xdr:rowOff>
    </xdr:from>
    <xdr:to>
      <xdr:col>5</xdr:col>
      <xdr:colOff>0</xdr:colOff>
      <xdr:row>12</xdr:row>
      <xdr:rowOff>9525</xdr:rowOff>
    </xdr:to>
    <xdr:sp>
      <xdr:nvSpPr>
        <xdr:cNvPr id="3" name="Line 7"/>
        <xdr:cNvSpPr>
          <a:spLocks/>
        </xdr:cNvSpPr>
      </xdr:nvSpPr>
      <xdr:spPr>
        <a:xfrm>
          <a:off x="4257675" y="314325"/>
          <a:ext cx="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771525</xdr:colOff>
      <xdr:row>7</xdr:row>
      <xdr:rowOff>152400</xdr:rowOff>
    </xdr:from>
    <xdr:to>
      <xdr:col>3</xdr:col>
      <xdr:colOff>771525</xdr:colOff>
      <xdr:row>11</xdr:row>
      <xdr:rowOff>76200</xdr:rowOff>
    </xdr:to>
    <xdr:sp>
      <xdr:nvSpPr>
        <xdr:cNvPr id="4" name="Line 8"/>
        <xdr:cNvSpPr>
          <a:spLocks/>
        </xdr:cNvSpPr>
      </xdr:nvSpPr>
      <xdr:spPr>
        <a:xfrm>
          <a:off x="3276600" y="12668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123825</xdr:colOff>
      <xdr:row>7</xdr:row>
      <xdr:rowOff>152400</xdr:rowOff>
    </xdr:from>
    <xdr:to>
      <xdr:col>6</xdr:col>
      <xdr:colOff>123825</xdr:colOff>
      <xdr:row>11</xdr:row>
      <xdr:rowOff>76200</xdr:rowOff>
    </xdr:to>
    <xdr:sp>
      <xdr:nvSpPr>
        <xdr:cNvPr id="5" name="Line 9"/>
        <xdr:cNvSpPr>
          <a:spLocks/>
        </xdr:cNvSpPr>
      </xdr:nvSpPr>
      <xdr:spPr>
        <a:xfrm>
          <a:off x="5257800" y="12668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26</xdr:row>
      <xdr:rowOff>114300</xdr:rowOff>
    </xdr:from>
    <xdr:to>
      <xdr:col>9</xdr:col>
      <xdr:colOff>0</xdr:colOff>
      <xdr:row>44</xdr:row>
      <xdr:rowOff>142875</xdr:rowOff>
    </xdr:to>
    <xdr:graphicFrame>
      <xdr:nvGraphicFramePr>
        <xdr:cNvPr id="1" name="Chart 1"/>
        <xdr:cNvGraphicFramePr/>
      </xdr:nvGraphicFramePr>
      <xdr:xfrm>
        <a:off x="533400" y="4114800"/>
        <a:ext cx="7048500"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D21"/>
  <sheetViews>
    <sheetView zoomScale="125" zoomScaleNormal="125" workbookViewId="0" topLeftCell="A1">
      <selection activeCell="C3" sqref="C3"/>
    </sheetView>
  </sheetViews>
  <sheetFormatPr defaultColWidth="11.00390625" defaultRowHeight="12"/>
  <cols>
    <col min="1" max="1" width="10.875" style="2" customWidth="1"/>
    <col min="2" max="2" width="5.50390625" style="2" customWidth="1"/>
    <col min="3" max="3" width="10.875" style="3" customWidth="1"/>
    <col min="4" max="4" width="10.875" style="5" customWidth="1"/>
    <col min="5" max="16384" width="11.50390625" style="0" customWidth="1"/>
  </cols>
  <sheetData>
    <row r="1" ht="12.75">
      <c r="A1" s="1" t="s">
        <v>135</v>
      </c>
    </row>
    <row r="3" spans="1:4" ht="12.75">
      <c r="A3" s="2" t="s">
        <v>136</v>
      </c>
      <c r="B3" s="2" t="s">
        <v>137</v>
      </c>
      <c r="C3" s="3">
        <f>4200+3000</f>
        <v>7200</v>
      </c>
      <c r="D3" s="5" t="s">
        <v>51</v>
      </c>
    </row>
    <row r="4" spans="2:4" ht="12.75">
      <c r="B4" s="2" t="s">
        <v>138</v>
      </c>
      <c r="C4" s="3">
        <v>0.37</v>
      </c>
      <c r="D4" s="5" t="s">
        <v>52</v>
      </c>
    </row>
    <row r="5" spans="2:4" ht="12.75">
      <c r="B5" s="2" t="s">
        <v>142</v>
      </c>
      <c r="C5" s="5">
        <f>2000*7</f>
        <v>14000</v>
      </c>
      <c r="D5" s="5" t="s">
        <v>51</v>
      </c>
    </row>
    <row r="6" spans="2:4" ht="12.75">
      <c r="B6" s="2" t="s">
        <v>140</v>
      </c>
      <c r="C6" s="3">
        <v>0</v>
      </c>
      <c r="D6" s="5" t="s">
        <v>141</v>
      </c>
    </row>
    <row r="8" spans="2:3" ht="12.75">
      <c r="B8" s="2" t="s">
        <v>139</v>
      </c>
      <c r="C8" s="4">
        <f>(C3+C5*C4)/C5</f>
        <v>0.8842857142857142</v>
      </c>
    </row>
    <row r="10" spans="1:3" ht="12.75">
      <c r="A10" s="2" t="s">
        <v>143</v>
      </c>
      <c r="B10" s="24" t="s">
        <v>53</v>
      </c>
      <c r="C10" s="4"/>
    </row>
    <row r="11" ht="12.75">
      <c r="B11" s="24" t="s">
        <v>54</v>
      </c>
    </row>
    <row r="12" ht="12.75">
      <c r="C12" s="4"/>
    </row>
    <row r="13" spans="1:2" ht="12.75">
      <c r="A13" s="2" t="s">
        <v>144</v>
      </c>
      <c r="B13" s="24" t="s">
        <v>62</v>
      </c>
    </row>
    <row r="14" ht="12.75">
      <c r="B14" s="24" t="s">
        <v>63</v>
      </c>
    </row>
    <row r="17" ht="12.75">
      <c r="C17" s="4"/>
    </row>
    <row r="19" ht="12.75">
      <c r="C19" s="4"/>
    </row>
    <row r="21" ht="12.75">
      <c r="C21" s="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3"/>
  <sheetViews>
    <sheetView zoomScale="125" zoomScaleNormal="125" workbookViewId="0" topLeftCell="A1">
      <selection activeCell="A1" sqref="A1"/>
    </sheetView>
  </sheetViews>
  <sheetFormatPr defaultColWidth="11.00390625" defaultRowHeight="12"/>
  <cols>
    <col min="1" max="1" width="10.875" style="2" customWidth="1"/>
    <col min="2" max="2" width="13.125" style="6" customWidth="1"/>
    <col min="3" max="3" width="3.125" style="6" customWidth="1"/>
    <col min="4" max="4" width="4.125" style="0" customWidth="1"/>
    <col min="5" max="5" width="6.375" style="0" customWidth="1"/>
    <col min="6" max="6" width="3.875" style="0" customWidth="1"/>
    <col min="7" max="16384" width="11.50390625" style="0" customWidth="1"/>
  </cols>
  <sheetData>
    <row r="1" ht="12.75">
      <c r="A1" s="1" t="s">
        <v>40</v>
      </c>
    </row>
    <row r="3" ht="12.75">
      <c r="B3" s="6" t="s">
        <v>64</v>
      </c>
    </row>
    <row r="4" ht="12.75">
      <c r="B4" s="6" t="s">
        <v>41</v>
      </c>
    </row>
    <row r="5" spans="2:3" ht="12.75">
      <c r="B5" s="6" t="s">
        <v>65</v>
      </c>
      <c r="C5" s="6" t="s">
        <v>66</v>
      </c>
    </row>
    <row r="6" spans="2:3" ht="12.75">
      <c r="B6" s="6" t="s">
        <v>69</v>
      </c>
      <c r="C6" s="6" t="s">
        <v>67</v>
      </c>
    </row>
    <row r="8" spans="3:7" ht="12.75">
      <c r="C8" s="46" t="s">
        <v>68</v>
      </c>
      <c r="D8" t="s">
        <v>43</v>
      </c>
      <c r="E8" t="s">
        <v>145</v>
      </c>
      <c r="G8" t="s">
        <v>70</v>
      </c>
    </row>
    <row r="9" spans="4:5" ht="12.75">
      <c r="D9" t="s">
        <v>140</v>
      </c>
      <c r="E9" t="s">
        <v>146</v>
      </c>
    </row>
    <row r="11" ht="12.75">
      <c r="A11" t="s">
        <v>147</v>
      </c>
    </row>
    <row r="12" ht="12.75">
      <c r="A12" t="s">
        <v>148</v>
      </c>
    </row>
    <row r="13" ht="12.75">
      <c r="A13" t="s">
        <v>2</v>
      </c>
    </row>
    <row r="14" ht="12.75">
      <c r="A14" t="s">
        <v>3</v>
      </c>
    </row>
    <row r="15" ht="12.75">
      <c r="A15" s="7" t="s">
        <v>4</v>
      </c>
    </row>
    <row r="16" ht="12.75">
      <c r="A16" t="s">
        <v>5</v>
      </c>
    </row>
    <row r="18" spans="3:5" ht="12.75">
      <c r="C18" s="47" t="s">
        <v>42</v>
      </c>
      <c r="D18" s="48">
        <v>0</v>
      </c>
      <c r="E18" s="33"/>
    </row>
    <row r="19" spans="3:5" ht="12.75">
      <c r="C19" s="49" t="s">
        <v>43</v>
      </c>
      <c r="D19" s="50">
        <v>16</v>
      </c>
      <c r="E19" s="35"/>
    </row>
    <row r="20" spans="3:5" ht="12.75">
      <c r="C20" s="51" t="s">
        <v>140</v>
      </c>
      <c r="D20" s="137">
        <f>30*D18+50*D19</f>
        <v>800</v>
      </c>
      <c r="E20" s="138"/>
    </row>
    <row r="22" spans="3:7" ht="12.75">
      <c r="C22" s="46" t="s">
        <v>68</v>
      </c>
      <c r="D22" t="s">
        <v>42</v>
      </c>
      <c r="E22" t="s">
        <v>71</v>
      </c>
      <c r="G22" t="s">
        <v>70</v>
      </c>
    </row>
    <row r="23" spans="4:5" ht="12.75">
      <c r="D23" t="s">
        <v>140</v>
      </c>
      <c r="E23" t="s">
        <v>149</v>
      </c>
    </row>
    <row r="24" ht="12.75">
      <c r="B24" t="s">
        <v>124</v>
      </c>
    </row>
    <row r="26" ht="12.75">
      <c r="A26" t="s">
        <v>6</v>
      </c>
    </row>
    <row r="27" ht="12.75">
      <c r="A27" t="s">
        <v>7</v>
      </c>
    </row>
    <row r="28" ht="12.75">
      <c r="A28" t="s">
        <v>8</v>
      </c>
    </row>
    <row r="29" ht="12.75">
      <c r="A29" t="s">
        <v>9</v>
      </c>
    </row>
    <row r="30" ht="12.75">
      <c r="A30" s="7" t="s">
        <v>10</v>
      </c>
    </row>
    <row r="31" ht="12.75">
      <c r="A31"/>
    </row>
    <row r="32" ht="12.75">
      <c r="A32" s="24" t="s">
        <v>11</v>
      </c>
    </row>
    <row r="33" ht="12.75">
      <c r="A33" s="24" t="s">
        <v>12</v>
      </c>
    </row>
    <row r="34" ht="12.75">
      <c r="A34" s="24" t="s">
        <v>133</v>
      </c>
    </row>
    <row r="35" ht="12.75">
      <c r="A35" s="24" t="s">
        <v>125</v>
      </c>
    </row>
    <row r="36" ht="12.75">
      <c r="A36" s="135" t="s">
        <v>123</v>
      </c>
    </row>
    <row r="37" ht="12.75">
      <c r="A37" s="24" t="s">
        <v>127</v>
      </c>
    </row>
    <row r="38" spans="1:6" ht="12.75">
      <c r="A38" s="24"/>
      <c r="E38" s="132" t="s">
        <v>129</v>
      </c>
      <c r="F38" s="33" t="s">
        <v>130</v>
      </c>
    </row>
    <row r="39" spans="2:6" ht="12.75">
      <c r="B39" s="46" t="s">
        <v>132</v>
      </c>
      <c r="C39" s="47" t="s">
        <v>42</v>
      </c>
      <c r="D39" s="33">
        <v>0</v>
      </c>
      <c r="E39" s="34">
        <f>4*D39+5*D40</f>
        <v>80</v>
      </c>
      <c r="F39" s="35">
        <v>80</v>
      </c>
    </row>
    <row r="40" spans="2:6" ht="12.75">
      <c r="B40" s="46" t="s">
        <v>132</v>
      </c>
      <c r="C40" s="49" t="s">
        <v>43</v>
      </c>
      <c r="D40" s="35">
        <v>16</v>
      </c>
      <c r="E40" s="34">
        <f>2*D39+D40</f>
        <v>16</v>
      </c>
      <c r="F40" s="35">
        <v>100</v>
      </c>
    </row>
    <row r="41" spans="3:6" ht="12.75">
      <c r="C41" s="133" t="s">
        <v>140</v>
      </c>
      <c r="D41" s="134">
        <f>30*D39+50*D40</f>
        <v>800</v>
      </c>
      <c r="E41" s="139" t="s">
        <v>131</v>
      </c>
      <c r="F41" s="140"/>
    </row>
    <row r="43" ht="12.75">
      <c r="A43" s="24" t="s">
        <v>128</v>
      </c>
    </row>
    <row r="45" ht="12"/>
    <row r="46" ht="12"/>
    <row r="47" ht="12"/>
    <row r="48" ht="12"/>
    <row r="49" ht="12"/>
    <row r="50" ht="12"/>
    <row r="51" ht="12"/>
    <row r="52" ht="12"/>
    <row r="53" ht="12"/>
    <row r="54" ht="12"/>
    <row r="55" ht="12"/>
    <row r="56" ht="12"/>
    <row r="57" ht="12"/>
    <row r="58" ht="12"/>
    <row r="59" ht="12"/>
  </sheetData>
  <mergeCells count="2">
    <mergeCell ref="D20:E20"/>
    <mergeCell ref="E41:F4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34"/>
  <sheetViews>
    <sheetView tabSelected="1" zoomScale="125" zoomScaleNormal="125" workbookViewId="0" topLeftCell="A1">
      <selection activeCell="A34" sqref="A34"/>
    </sheetView>
  </sheetViews>
  <sheetFormatPr defaultColWidth="11.00390625" defaultRowHeight="12"/>
  <cols>
    <col min="2" max="2" width="4.375" style="0" customWidth="1"/>
    <col min="3" max="5" width="5.875" style="0" customWidth="1"/>
  </cols>
  <sheetData>
    <row r="1" ht="12.75">
      <c r="A1" s="52" t="s">
        <v>40</v>
      </c>
    </row>
    <row r="2" ht="12.75">
      <c r="A2" s="52"/>
    </row>
    <row r="3" ht="12.75">
      <c r="A3" s="136" t="s">
        <v>61</v>
      </c>
    </row>
    <row r="4" ht="12.75">
      <c r="A4" s="136" t="s">
        <v>126</v>
      </c>
    </row>
    <row r="6" spans="2:5" ht="12.75">
      <c r="B6" s="6"/>
      <c r="D6" s="132" t="s">
        <v>129</v>
      </c>
      <c r="E6" s="33" t="s">
        <v>130</v>
      </c>
    </row>
    <row r="7" spans="2:6" ht="12.75">
      <c r="B7" s="47" t="s">
        <v>42</v>
      </c>
      <c r="C7" s="33">
        <v>0</v>
      </c>
      <c r="D7" s="34">
        <f>4*C7+5*C8</f>
        <v>500</v>
      </c>
      <c r="E7" s="35">
        <v>80</v>
      </c>
      <c r="F7" t="s">
        <v>55</v>
      </c>
    </row>
    <row r="8" spans="2:5" ht="12.75">
      <c r="B8" s="49" t="s">
        <v>43</v>
      </c>
      <c r="C8" s="35">
        <v>100</v>
      </c>
      <c r="D8" s="34">
        <f>2*C7+C8</f>
        <v>100</v>
      </c>
      <c r="E8" s="35">
        <v>100</v>
      </c>
    </row>
    <row r="9" spans="2:5" ht="12.75">
      <c r="B9" s="133" t="s">
        <v>140</v>
      </c>
      <c r="C9" s="134">
        <f>30*C7+50*C8</f>
        <v>5000</v>
      </c>
      <c r="D9" s="139" t="s">
        <v>131</v>
      </c>
      <c r="E9" s="140"/>
    </row>
    <row r="28" spans="1:7" ht="12.75" customHeight="1">
      <c r="A28" s="169" t="s">
        <v>0</v>
      </c>
      <c r="B28" s="169"/>
      <c r="C28" s="169"/>
      <c r="D28" s="169"/>
      <c r="E28" s="169"/>
      <c r="F28" s="169"/>
      <c r="G28" s="169"/>
    </row>
    <row r="29" spans="1:7" ht="12.75" customHeight="1">
      <c r="A29" s="169"/>
      <c r="B29" s="169"/>
      <c r="C29" s="169"/>
      <c r="D29" s="169"/>
      <c r="E29" s="169"/>
      <c r="F29" s="169"/>
      <c r="G29" s="169"/>
    </row>
    <row r="30" spans="1:7" ht="12.75" customHeight="1">
      <c r="A30" s="169"/>
      <c r="B30" s="169"/>
      <c r="C30" s="169"/>
      <c r="D30" s="169"/>
      <c r="E30" s="169"/>
      <c r="F30" s="169"/>
      <c r="G30" s="169"/>
    </row>
    <row r="31" spans="1:7" ht="12.75" customHeight="1">
      <c r="A31" s="169" t="s">
        <v>1</v>
      </c>
      <c r="B31" s="169"/>
      <c r="C31" s="169"/>
      <c r="D31" s="169"/>
      <c r="E31" s="169"/>
      <c r="F31" s="169"/>
      <c r="G31" s="169"/>
    </row>
    <row r="32" spans="1:7" ht="12.75" customHeight="1">
      <c r="A32" s="169"/>
      <c r="B32" s="169"/>
      <c r="C32" s="169"/>
      <c r="D32" s="169"/>
      <c r="E32" s="169"/>
      <c r="F32" s="169"/>
      <c r="G32" s="169"/>
    </row>
    <row r="33" spans="1:7" ht="12.75" customHeight="1">
      <c r="A33" s="169"/>
      <c r="B33" s="169"/>
      <c r="C33" s="169"/>
      <c r="D33" s="169"/>
      <c r="E33" s="169"/>
      <c r="F33" s="169"/>
      <c r="G33" s="169"/>
    </row>
    <row r="34" spans="1:7" ht="12.75">
      <c r="A34" s="170"/>
      <c r="B34" s="170"/>
      <c r="C34" s="170"/>
      <c r="D34" s="170"/>
      <c r="E34" s="170"/>
      <c r="F34" s="170"/>
      <c r="G34" s="170"/>
    </row>
  </sheetData>
  <mergeCells count="3">
    <mergeCell ref="D9:E9"/>
    <mergeCell ref="A28:G30"/>
    <mergeCell ref="A31:G3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E25"/>
  <sheetViews>
    <sheetView zoomScale="125" zoomScaleNormal="125" workbookViewId="0" topLeftCell="A2">
      <selection activeCell="C14" sqref="C14"/>
    </sheetView>
  </sheetViews>
  <sheetFormatPr defaultColWidth="11.00390625" defaultRowHeight="12"/>
  <cols>
    <col min="1" max="2" width="11.50390625" style="0" customWidth="1"/>
    <col min="3" max="3" width="13.125" style="0" customWidth="1"/>
    <col min="4" max="4" width="11.50390625" style="0" customWidth="1"/>
    <col min="5" max="5" width="12.625" style="0" bestFit="1" customWidth="1"/>
    <col min="6" max="16384" width="11.50390625" style="0" customWidth="1"/>
  </cols>
  <sheetData>
    <row r="1" ht="12.75">
      <c r="A1" s="8" t="s">
        <v>45</v>
      </c>
    </row>
    <row r="2" ht="12.75">
      <c r="B2" s="52" t="s">
        <v>49</v>
      </c>
    </row>
    <row r="9" spans="2:3" ht="12.75">
      <c r="B9" s="9" t="s">
        <v>46</v>
      </c>
      <c r="C9" s="10" t="s">
        <v>72</v>
      </c>
    </row>
    <row r="10" spans="2:3" ht="12.75">
      <c r="B10" s="9" t="s">
        <v>50</v>
      </c>
      <c r="C10" s="11">
        <f>1-C9</f>
        <v>0.9</v>
      </c>
    </row>
    <row r="11" spans="2:3" ht="12.75">
      <c r="B11" s="9" t="s">
        <v>47</v>
      </c>
      <c r="C11" s="12">
        <v>10</v>
      </c>
    </row>
    <row r="13" spans="2:3" ht="12.75">
      <c r="B13" s="13" t="s">
        <v>48</v>
      </c>
      <c r="C13" s="13" t="s">
        <v>73</v>
      </c>
    </row>
    <row r="14" spans="2:3" ht="12.75">
      <c r="B14" s="14">
        <v>0</v>
      </c>
      <c r="C14" s="53">
        <f>(((FACT(C$11))*C$9^B14*C$10^(C$11-B14))/((FACT(B14)*FACT(C$11-B14))))</f>
        <v>0.34867844010000015</v>
      </c>
    </row>
    <row r="15" spans="2:3" ht="12.75">
      <c r="B15" s="15">
        <v>1</v>
      </c>
      <c r="C15" s="53">
        <f>(((FACT(C$11))*C$9^B15*C$10^(C$11-B15))/((FACT(B15)*FACT(C$11-B15))))</f>
        <v>0.3874204890000001</v>
      </c>
    </row>
    <row r="16" spans="2:4" ht="12.75">
      <c r="B16" s="15">
        <v>2</v>
      </c>
      <c r="C16" s="53">
        <f aca="true" t="shared" si="0" ref="C16:C24">(((FACT(C$11))*C$9^B16*C$10^(C$11-B16))/((FACT(B16)*FACT(C$11-B16))))</f>
        <v>0.1937102445000001</v>
      </c>
      <c r="D16" s="16"/>
    </row>
    <row r="17" spans="2:5" ht="12.75">
      <c r="B17" s="15">
        <v>3</v>
      </c>
      <c r="C17" s="53">
        <f t="shared" si="0"/>
        <v>0.05739562800000003</v>
      </c>
      <c r="D17" t="s">
        <v>75</v>
      </c>
      <c r="E17" s="54">
        <f>C17</f>
        <v>0.05739562800000003</v>
      </c>
    </row>
    <row r="18" spans="2:3" ht="12.75">
      <c r="B18" s="15">
        <v>4</v>
      </c>
      <c r="C18" s="53">
        <f t="shared" si="0"/>
        <v>0.011160261000000008</v>
      </c>
    </row>
    <row r="19" spans="2:3" ht="12.75">
      <c r="B19" s="15">
        <v>5</v>
      </c>
      <c r="C19" s="53">
        <f t="shared" si="0"/>
        <v>0.0014880348000000012</v>
      </c>
    </row>
    <row r="20" spans="2:3" ht="12.75">
      <c r="B20" s="15">
        <v>6</v>
      </c>
      <c r="C20" s="53">
        <f t="shared" si="0"/>
        <v>0.00013778100000000012</v>
      </c>
    </row>
    <row r="21" spans="2:3" ht="12.75">
      <c r="B21" s="15">
        <v>7</v>
      </c>
      <c r="C21" s="53">
        <f t="shared" si="0"/>
        <v>8.748000000000007E-06</v>
      </c>
    </row>
    <row r="22" spans="2:3" ht="12.75">
      <c r="B22" s="15">
        <v>8</v>
      </c>
      <c r="C22" s="53">
        <f t="shared" si="0"/>
        <v>3.6450000000000033E-07</v>
      </c>
    </row>
    <row r="23" spans="2:3" ht="12.75">
      <c r="B23" s="15">
        <v>9</v>
      </c>
      <c r="C23" s="53">
        <f t="shared" si="0"/>
        <v>9.000000000000008E-09</v>
      </c>
    </row>
    <row r="24" spans="2:3" ht="12.75">
      <c r="B24" s="15">
        <v>10</v>
      </c>
      <c r="C24" s="53">
        <f t="shared" si="0"/>
        <v>1.0000000000000011E-10</v>
      </c>
    </row>
    <row r="25" spans="2:3" ht="12.75">
      <c r="B25" s="2" t="s">
        <v>74</v>
      </c>
      <c r="C25" s="53">
        <f>SUM(C14:C24)</f>
        <v>1.0000000000000002</v>
      </c>
    </row>
  </sheetData>
  <printOptions/>
  <pageMargins left="0.75" right="0.75" top="1" bottom="1" header="0.5" footer="0.5"/>
  <pageSetup orientation="portrait" paperSize="9"/>
  <legacyDrawing r:id="rId2"/>
  <oleObjects>
    <oleObject progId="Equation.3" shapeId="7236012" r:id="rId1"/>
  </oleObjects>
</worksheet>
</file>

<file path=xl/worksheets/sheet5.xml><?xml version="1.0" encoding="utf-8"?>
<worksheet xmlns="http://schemas.openxmlformats.org/spreadsheetml/2006/main" xmlns:r="http://schemas.openxmlformats.org/officeDocument/2006/relationships">
  <dimension ref="A1:K30"/>
  <sheetViews>
    <sheetView zoomScale="125" zoomScaleNormal="125" workbookViewId="0" topLeftCell="A1">
      <selection activeCell="C26" sqref="C26"/>
    </sheetView>
  </sheetViews>
  <sheetFormatPr defaultColWidth="11.00390625" defaultRowHeight="12"/>
  <cols>
    <col min="1" max="2" width="9.00390625" style="0" customWidth="1"/>
    <col min="3" max="3" width="9.00390625" style="19" customWidth="1"/>
    <col min="4" max="6" width="9.00390625" style="0" customWidth="1"/>
    <col min="7" max="7" width="9.00390625" style="19" customWidth="1"/>
    <col min="8" max="10" width="9.00390625" style="0" customWidth="1"/>
    <col min="11" max="11" width="9.00390625" style="19" customWidth="1"/>
    <col min="12" max="16384" width="8.875" style="0" customWidth="1"/>
  </cols>
  <sheetData>
    <row r="1" spans="1:11" s="28" customFormat="1" ht="24" customHeight="1">
      <c r="A1" s="141" t="s">
        <v>98</v>
      </c>
      <c r="B1" s="141"/>
      <c r="C1" s="29"/>
      <c r="E1" s="145" t="s">
        <v>116</v>
      </c>
      <c r="F1" s="145"/>
      <c r="G1" s="145"/>
      <c r="I1" s="145" t="s">
        <v>115</v>
      </c>
      <c r="J1" s="145"/>
      <c r="K1" s="145"/>
    </row>
    <row r="3" spans="5:11" ht="12.75">
      <c r="E3" s="144" t="s">
        <v>81</v>
      </c>
      <c r="F3" s="144"/>
      <c r="G3" s="20">
        <f>1-G5-G7</f>
        <v>0.85</v>
      </c>
      <c r="I3" s="142" t="s">
        <v>87</v>
      </c>
      <c r="J3" s="143"/>
      <c r="K3" s="20">
        <f>C$5*G3</f>
        <v>0.2975</v>
      </c>
    </row>
    <row r="4" spans="6:11" ht="12.75">
      <c r="F4" s="2"/>
      <c r="G4" s="55"/>
      <c r="K4" s="21"/>
    </row>
    <row r="5" spans="2:11" ht="12.75">
      <c r="B5" s="9" t="s">
        <v>79</v>
      </c>
      <c r="C5" s="22">
        <v>0.35</v>
      </c>
      <c r="D5" s="17"/>
      <c r="E5" s="144" t="s">
        <v>82</v>
      </c>
      <c r="F5" s="144"/>
      <c r="G5" s="20">
        <v>0.05</v>
      </c>
      <c r="I5" s="142" t="s">
        <v>87</v>
      </c>
      <c r="J5" s="143"/>
      <c r="K5" s="20">
        <f>C$5*G5</f>
        <v>0.017499999999999998</v>
      </c>
    </row>
    <row r="6" spans="6:11" ht="12.75">
      <c r="F6" s="2"/>
      <c r="G6" s="56"/>
      <c r="J6" s="18"/>
      <c r="K6" s="21"/>
    </row>
    <row r="7" spans="5:11" ht="12.75">
      <c r="E7" s="144" t="s">
        <v>83</v>
      </c>
      <c r="F7" s="144"/>
      <c r="G7" s="22">
        <v>0.1</v>
      </c>
      <c r="I7" s="142" t="s">
        <v>88</v>
      </c>
      <c r="J7" s="143"/>
      <c r="K7" s="20">
        <f>C$5*G7</f>
        <v>0.034999999999999996</v>
      </c>
    </row>
    <row r="10" spans="5:11" ht="12.75">
      <c r="E10" s="144" t="s">
        <v>85</v>
      </c>
      <c r="F10" s="144"/>
      <c r="G10" s="20">
        <f>1-G12-G14</f>
        <v>0.7</v>
      </c>
      <c r="I10" s="142" t="s">
        <v>89</v>
      </c>
      <c r="J10" s="143"/>
      <c r="K10" s="20">
        <f>C$12*G10</f>
        <v>0.45499999999999996</v>
      </c>
    </row>
    <row r="11" spans="6:11" ht="12.75">
      <c r="F11" s="2"/>
      <c r="G11" s="55"/>
      <c r="K11" s="21"/>
    </row>
    <row r="12" spans="2:11" ht="12.75">
      <c r="B12" s="9" t="s">
        <v>80</v>
      </c>
      <c r="C12" s="22">
        <f>1-C5</f>
        <v>0.65</v>
      </c>
      <c r="D12" s="17"/>
      <c r="E12" s="144" t="s">
        <v>84</v>
      </c>
      <c r="F12" s="144"/>
      <c r="G12" s="57">
        <v>0.05</v>
      </c>
      <c r="I12" s="142" t="s">
        <v>56</v>
      </c>
      <c r="J12" s="143"/>
      <c r="K12" s="20">
        <f>C$12*G12</f>
        <v>0.0325</v>
      </c>
    </row>
    <row r="13" spans="6:11" ht="12.75">
      <c r="F13" s="2"/>
      <c r="G13" s="56"/>
      <c r="J13" s="18"/>
      <c r="K13" s="21"/>
    </row>
    <row r="14" spans="5:11" ht="12.75">
      <c r="E14" s="142" t="s">
        <v>86</v>
      </c>
      <c r="F14" s="143"/>
      <c r="G14" s="22">
        <v>0.25</v>
      </c>
      <c r="I14" s="142" t="s">
        <v>57</v>
      </c>
      <c r="J14" s="143"/>
      <c r="K14" s="20">
        <f>C$12*G14</f>
        <v>0.1625</v>
      </c>
    </row>
    <row r="15" spans="3:11" ht="12.75">
      <c r="C15"/>
      <c r="G15"/>
      <c r="K15"/>
    </row>
    <row r="16" spans="3:11" ht="12.75">
      <c r="C16"/>
      <c r="G16"/>
      <c r="K16"/>
    </row>
    <row r="18" spans="1:11" ht="12.75">
      <c r="A18" s="146" t="s">
        <v>113</v>
      </c>
      <c r="B18" s="147"/>
      <c r="C18" s="147"/>
      <c r="D18" s="148"/>
      <c r="G18"/>
      <c r="K18"/>
    </row>
    <row r="19" spans="1:11" ht="12.75">
      <c r="A19" s="30"/>
      <c r="B19" s="31" t="s">
        <v>76</v>
      </c>
      <c r="C19" s="32" t="s">
        <v>77</v>
      </c>
      <c r="D19" s="33"/>
      <c r="G19"/>
      <c r="K19"/>
    </row>
    <row r="20" spans="1:11" ht="12.75">
      <c r="A20" s="34" t="s">
        <v>107</v>
      </c>
      <c r="B20" s="40">
        <f>K3</f>
        <v>0.2975</v>
      </c>
      <c r="C20" s="37">
        <f>K10</f>
        <v>0.45499999999999996</v>
      </c>
      <c r="D20" s="41">
        <f>SUM(B20:C20)</f>
        <v>0.7525</v>
      </c>
      <c r="G20"/>
      <c r="K20"/>
    </row>
    <row r="21" spans="1:11" ht="12.75">
      <c r="A21" s="34" t="s">
        <v>78</v>
      </c>
      <c r="B21" s="42">
        <f>K5</f>
        <v>0.017499999999999998</v>
      </c>
      <c r="C21" s="38">
        <f>K12</f>
        <v>0.0325</v>
      </c>
      <c r="D21" s="41">
        <f>SUM(B21:C21)</f>
        <v>0.05</v>
      </c>
      <c r="G21"/>
      <c r="K21"/>
    </row>
    <row r="22" spans="1:11" ht="12.75">
      <c r="A22" s="34" t="s">
        <v>108</v>
      </c>
      <c r="B22" s="43">
        <f>K7</f>
        <v>0.034999999999999996</v>
      </c>
      <c r="C22" s="39">
        <f>K14</f>
        <v>0.1625</v>
      </c>
      <c r="D22" s="41">
        <f>SUM(B22:C22)</f>
        <v>0.1975</v>
      </c>
      <c r="G22"/>
      <c r="K22"/>
    </row>
    <row r="23" spans="1:11" ht="12.75">
      <c r="A23" s="36"/>
      <c r="B23" s="44">
        <f>SUM(B20:B22)</f>
        <v>0.35</v>
      </c>
      <c r="C23" s="44">
        <f>SUM(C20:C22)</f>
        <v>0.6499999999999999</v>
      </c>
      <c r="D23" s="45">
        <f>SUM(B23:C23)</f>
        <v>0.9999999999999999</v>
      </c>
      <c r="G23"/>
      <c r="K23"/>
    </row>
    <row r="24" spans="7:11" ht="12.75">
      <c r="G24"/>
      <c r="K24"/>
    </row>
    <row r="25" spans="7:11" ht="12.75">
      <c r="G25"/>
      <c r="K25"/>
    </row>
    <row r="26" spans="1:11" ht="12.75">
      <c r="A26" s="27"/>
      <c r="B26" s="58" t="s">
        <v>90</v>
      </c>
      <c r="C26" s="59">
        <f>B22/D22</f>
        <v>0.1772151898734177</v>
      </c>
      <c r="D26" s="26" t="s">
        <v>91</v>
      </c>
      <c r="E26" s="26"/>
      <c r="F26" s="60"/>
      <c r="G26"/>
      <c r="K26"/>
    </row>
    <row r="27" spans="7:11" ht="12.75">
      <c r="G27"/>
      <c r="K27"/>
    </row>
    <row r="28" spans="7:11" ht="12.75">
      <c r="G28"/>
      <c r="K28"/>
    </row>
    <row r="29" spans="7:11" ht="12.75">
      <c r="G29"/>
      <c r="K29"/>
    </row>
    <row r="30" spans="7:11" ht="12.75">
      <c r="G30"/>
      <c r="K30"/>
    </row>
  </sheetData>
  <mergeCells count="16">
    <mergeCell ref="A18:D18"/>
    <mergeCell ref="E5:F5"/>
    <mergeCell ref="I5:J5"/>
    <mergeCell ref="E12:F12"/>
    <mergeCell ref="I12:J12"/>
    <mergeCell ref="I14:J14"/>
    <mergeCell ref="E14:F14"/>
    <mergeCell ref="A1:B1"/>
    <mergeCell ref="I3:J3"/>
    <mergeCell ref="I7:J7"/>
    <mergeCell ref="I10:J10"/>
    <mergeCell ref="E10:F10"/>
    <mergeCell ref="E3:F3"/>
    <mergeCell ref="E7:F7"/>
    <mergeCell ref="I1:K1"/>
    <mergeCell ref="E1:G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G13"/>
  <sheetViews>
    <sheetView zoomScale="125" zoomScaleNormal="125" workbookViewId="0" topLeftCell="A1">
      <selection activeCell="C11" sqref="C11"/>
    </sheetView>
  </sheetViews>
  <sheetFormatPr defaultColWidth="11.00390625" defaultRowHeight="12"/>
  <cols>
    <col min="1" max="1" width="11.50390625" style="0" customWidth="1"/>
    <col min="2" max="2" width="9.875" style="0" customWidth="1"/>
    <col min="3" max="16384" width="11.50390625" style="0" customWidth="1"/>
  </cols>
  <sheetData>
    <row r="1" ht="12.75">
      <c r="A1" s="8" t="s">
        <v>104</v>
      </c>
    </row>
    <row r="2" ht="12.75">
      <c r="B2" t="s">
        <v>105</v>
      </c>
    </row>
    <row r="4" spans="2:3" ht="12.75">
      <c r="B4" s="9" t="s">
        <v>99</v>
      </c>
      <c r="C4" s="15">
        <v>50</v>
      </c>
    </row>
    <row r="5" spans="2:3" ht="12.75">
      <c r="B5" s="9" t="s">
        <v>100</v>
      </c>
      <c r="C5" s="15">
        <v>3</v>
      </c>
    </row>
    <row r="6" spans="2:3" ht="12.75">
      <c r="B6" s="9" t="s">
        <v>101</v>
      </c>
      <c r="C6" s="15">
        <v>55</v>
      </c>
    </row>
    <row r="8" spans="2:3" ht="12.75">
      <c r="B8" s="9" t="s">
        <v>102</v>
      </c>
      <c r="C8" s="15">
        <f>(C6-C4)/C5</f>
        <v>1.6666666666666667</v>
      </c>
    </row>
    <row r="10" spans="2:3" ht="12.75">
      <c r="B10" s="9" t="s">
        <v>103</v>
      </c>
      <c r="C10" s="61">
        <v>0.4525</v>
      </c>
    </row>
    <row r="11" spans="2:3" ht="12.75">
      <c r="B11" s="9" t="s">
        <v>92</v>
      </c>
      <c r="C11" s="25">
        <f>2*C10</f>
        <v>0.905</v>
      </c>
    </row>
    <row r="12" spans="5:7" ht="13.5">
      <c r="E12" s="24">
        <v>45</v>
      </c>
      <c r="F12" s="23" t="s">
        <v>93</v>
      </c>
      <c r="G12" s="24" t="s">
        <v>95</v>
      </c>
    </row>
    <row r="13" spans="4:7" ht="13.5">
      <c r="D13" s="2" t="s">
        <v>106</v>
      </c>
      <c r="E13" s="24" t="s">
        <v>96</v>
      </c>
      <c r="F13" s="23" t="s">
        <v>94</v>
      </c>
      <c r="G13" t="s">
        <v>97</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G11"/>
  <sheetViews>
    <sheetView zoomScale="125" zoomScaleNormal="125" workbookViewId="0" topLeftCell="A1">
      <selection activeCell="G6" sqref="G6"/>
    </sheetView>
  </sheetViews>
  <sheetFormatPr defaultColWidth="11.00390625" defaultRowHeight="12"/>
  <cols>
    <col min="1" max="1" width="10.875" style="52" customWidth="1"/>
    <col min="2" max="2" width="10.00390625" style="1" customWidth="1"/>
    <col min="3" max="5" width="10.875" style="64" customWidth="1"/>
    <col min="6" max="6" width="9.625" style="52" customWidth="1"/>
    <col min="7" max="16384" width="10.875" style="52" customWidth="1"/>
  </cols>
  <sheetData>
    <row r="1" ht="12.75">
      <c r="A1" s="52" t="s">
        <v>111</v>
      </c>
    </row>
    <row r="2" spans="6:7" ht="12.75">
      <c r="F2" s="52" t="s">
        <v>20</v>
      </c>
      <c r="G2" s="52" t="s">
        <v>21</v>
      </c>
    </row>
    <row r="3" spans="2:7" ht="12.75">
      <c r="B3" s="63" t="s">
        <v>19</v>
      </c>
      <c r="C3" s="64" t="s">
        <v>13</v>
      </c>
      <c r="D3" s="64" t="s">
        <v>14</v>
      </c>
      <c r="E3" s="64" t="s">
        <v>15</v>
      </c>
      <c r="F3" s="52">
        <v>0.3</v>
      </c>
      <c r="G3" s="62">
        <v>0.5</v>
      </c>
    </row>
    <row r="4" spans="2:7" ht="12.75">
      <c r="B4" s="1" t="s">
        <v>16</v>
      </c>
      <c r="C4" s="65">
        <v>3</v>
      </c>
      <c r="D4" s="66">
        <v>1</v>
      </c>
      <c r="E4" s="67">
        <v>1</v>
      </c>
      <c r="F4" s="76">
        <f>MAX($C4:$E4)*F$3+MIN($C4:$E4)*(1-F$3)</f>
        <v>1.5999999999999999</v>
      </c>
      <c r="G4" s="75">
        <f>AVERAGE(C4:E4)</f>
        <v>1.6666666666666667</v>
      </c>
    </row>
    <row r="5" spans="2:7" ht="12.75">
      <c r="B5" s="1" t="s">
        <v>17</v>
      </c>
      <c r="C5" s="68">
        <v>2</v>
      </c>
      <c r="D5" s="69">
        <v>3</v>
      </c>
      <c r="E5" s="69">
        <v>0</v>
      </c>
      <c r="F5" s="75">
        <f>MAX($C5:$E5)*F$3+MIN($C5:$E5)*(1-F$3)</f>
        <v>0.8999999999999999</v>
      </c>
      <c r="G5" s="75">
        <f>AVERAGE(C5:E5)</f>
        <v>1.6666666666666667</v>
      </c>
    </row>
    <row r="6" spans="2:7" ht="12.75">
      <c r="B6" s="1" t="s">
        <v>18</v>
      </c>
      <c r="C6" s="71">
        <v>0</v>
      </c>
      <c r="D6" s="72">
        <v>4</v>
      </c>
      <c r="E6" s="72">
        <v>2</v>
      </c>
      <c r="F6" s="75">
        <f>MAX($C6:$E6)*F$3+MIN($C6:$E6)*(1-F$3)</f>
        <v>1.2</v>
      </c>
      <c r="G6" s="74">
        <f>AVERAGE(C6:E6)</f>
        <v>2</v>
      </c>
    </row>
    <row r="8" spans="2:6" ht="12.75">
      <c r="B8" s="63" t="s">
        <v>22</v>
      </c>
      <c r="C8" s="64" t="s">
        <v>13</v>
      </c>
      <c r="D8" s="64" t="s">
        <v>14</v>
      </c>
      <c r="E8" s="64" t="s">
        <v>15</v>
      </c>
      <c r="F8" s="62" t="s">
        <v>23</v>
      </c>
    </row>
    <row r="9" spans="2:7" ht="12.75">
      <c r="B9" s="1" t="s">
        <v>16</v>
      </c>
      <c r="C9" s="65">
        <f>MAX(C$4:C$6)-C4</f>
        <v>0</v>
      </c>
      <c r="D9" s="66">
        <f>MAX(D$4:D$6)-D4</f>
        <v>3</v>
      </c>
      <c r="E9" s="67">
        <f>MAX(E$4:E$6)-E4</f>
        <v>1</v>
      </c>
      <c r="F9" s="52">
        <f>MAX(C9:E9)</f>
        <v>3</v>
      </c>
      <c r="G9" s="52">
        <f>IF(F9=MIN(F$9:F$11),"Select for a.","")</f>
      </c>
    </row>
    <row r="10" spans="2:7" ht="12.75">
      <c r="B10" s="1" t="s">
        <v>17</v>
      </c>
      <c r="C10" s="68">
        <f aca="true" t="shared" si="0" ref="C10:E11">MAX(C$4:C$6)-C5</f>
        <v>1</v>
      </c>
      <c r="D10" s="69">
        <f t="shared" si="0"/>
        <v>1</v>
      </c>
      <c r="E10" s="70">
        <f t="shared" si="0"/>
        <v>2</v>
      </c>
      <c r="F10" s="74">
        <f>MAX(C10:E10)</f>
        <v>2</v>
      </c>
      <c r="G10" s="52" t="str">
        <f>IF(F10=MIN(F$9:F$11),"Select for a.","")</f>
        <v>Select for a.</v>
      </c>
    </row>
    <row r="11" spans="2:7" ht="12.75">
      <c r="B11" s="1" t="s">
        <v>18</v>
      </c>
      <c r="C11" s="71">
        <f t="shared" si="0"/>
        <v>3</v>
      </c>
      <c r="D11" s="72">
        <f t="shared" si="0"/>
        <v>0</v>
      </c>
      <c r="E11" s="73">
        <f t="shared" si="0"/>
        <v>0</v>
      </c>
      <c r="F11" s="52">
        <f>MAX(C11:E11)</f>
        <v>3</v>
      </c>
      <c r="G11" s="52">
        <f>IF(F11=MIN(F$9:F$11),"Select for a.","")</f>
      </c>
    </row>
    <row r="17" ht="12.75" customHeight="1"/>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
  <sheetViews>
    <sheetView workbookViewId="0" topLeftCell="A1">
      <selection activeCell="F15" sqref="F15"/>
    </sheetView>
  </sheetViews>
  <sheetFormatPr defaultColWidth="11.00390625" defaultRowHeight="12"/>
  <cols>
    <col min="1" max="3" width="8.875" style="78" customWidth="1"/>
    <col min="4" max="5" width="11.625" style="78" customWidth="1"/>
    <col min="6" max="16384" width="8.875" style="78" customWidth="1"/>
  </cols>
  <sheetData>
    <row r="1" ht="12">
      <c r="A1" s="77" t="s">
        <v>114</v>
      </c>
    </row>
    <row r="3" ht="12">
      <c r="A3" s="79" t="s">
        <v>109</v>
      </c>
    </row>
    <row r="4" spans="2:6" ht="12">
      <c r="B4" s="80"/>
      <c r="C4" s="149" t="s">
        <v>24</v>
      </c>
      <c r="D4" s="150"/>
      <c r="E4" s="151"/>
      <c r="F4" s="80"/>
    </row>
    <row r="5" spans="2:6" ht="12">
      <c r="B5" s="81"/>
      <c r="C5" s="82" t="s">
        <v>25</v>
      </c>
      <c r="D5" s="82" t="s">
        <v>26</v>
      </c>
      <c r="E5" s="82" t="s">
        <v>27</v>
      </c>
      <c r="F5" s="81"/>
    </row>
    <row r="6" spans="2:6" ht="12">
      <c r="B6" s="82" t="s">
        <v>28</v>
      </c>
      <c r="C6" s="83">
        <v>0.45</v>
      </c>
      <c r="D6" s="84">
        <v>0.35</v>
      </c>
      <c r="E6" s="85">
        <v>0.2</v>
      </c>
      <c r="F6" s="82" t="s">
        <v>112</v>
      </c>
    </row>
    <row r="7" spans="2:6" ht="12">
      <c r="B7" s="84" t="s">
        <v>29</v>
      </c>
      <c r="C7" s="87">
        <v>-500</v>
      </c>
      <c r="D7" s="87">
        <v>-200</v>
      </c>
      <c r="E7" s="87">
        <v>1500</v>
      </c>
      <c r="F7" s="88">
        <f>SUMPRODUCT(C6:E6,C7:E7)</f>
        <v>5</v>
      </c>
    </row>
    <row r="8" spans="2:7" ht="12">
      <c r="B8" s="84" t="s">
        <v>30</v>
      </c>
      <c r="C8" s="87">
        <v>2000</v>
      </c>
      <c r="D8" s="87">
        <v>0</v>
      </c>
      <c r="E8" s="87">
        <v>-900</v>
      </c>
      <c r="F8" s="87">
        <f>SUMPRODUCT(C6:E6,C8:E8)</f>
        <v>720</v>
      </c>
      <c r="G8" s="86" t="s">
        <v>44</v>
      </c>
    </row>
    <row r="10" ht="12">
      <c r="A10" s="79" t="s">
        <v>110</v>
      </c>
    </row>
    <row r="11" spans="2:6" ht="12">
      <c r="B11" s="80"/>
      <c r="C11" s="149" t="s">
        <v>24</v>
      </c>
      <c r="D11" s="150"/>
      <c r="E11" s="151"/>
      <c r="F11" s="80"/>
    </row>
    <row r="12" spans="2:6" ht="12">
      <c r="B12" s="81"/>
      <c r="C12" s="82" t="s">
        <v>25</v>
      </c>
      <c r="D12" s="82" t="s">
        <v>26</v>
      </c>
      <c r="E12" s="82" t="s">
        <v>27</v>
      </c>
      <c r="F12" s="81"/>
    </row>
    <row r="13" spans="2:6" ht="12">
      <c r="B13" s="82" t="s">
        <v>28</v>
      </c>
      <c r="C13" s="83">
        <v>0.45</v>
      </c>
      <c r="D13" s="84">
        <v>0.35</v>
      </c>
      <c r="E13" s="85">
        <v>0.2</v>
      </c>
      <c r="F13" s="82" t="s">
        <v>31</v>
      </c>
    </row>
    <row r="14" spans="2:6" ht="12">
      <c r="B14" s="84" t="s">
        <v>29</v>
      </c>
      <c r="C14" s="87">
        <v>2500</v>
      </c>
      <c r="D14" s="87">
        <v>200</v>
      </c>
      <c r="E14" s="87">
        <v>0</v>
      </c>
      <c r="F14" s="88">
        <f>SUMPRODUCT(C13:E13,C14:E14)</f>
        <v>1195</v>
      </c>
    </row>
    <row r="15" spans="2:7" ht="12">
      <c r="B15" s="84" t="s">
        <v>30</v>
      </c>
      <c r="C15" s="87">
        <v>0</v>
      </c>
      <c r="D15" s="87">
        <v>0</v>
      </c>
      <c r="E15" s="87">
        <v>2400</v>
      </c>
      <c r="F15" s="87">
        <f>SUMPRODUCT(C13:E13,C15:E15)</f>
        <v>480</v>
      </c>
      <c r="G15" s="86" t="s">
        <v>44</v>
      </c>
    </row>
  </sheetData>
  <mergeCells count="2">
    <mergeCell ref="C4:E4"/>
    <mergeCell ref="C11:E11"/>
  </mergeCells>
  <printOptions/>
  <pageMargins left="0.75" right="0.75" top="1" bottom="1" header="0.5" footer="0.5"/>
  <pageSetup horizontalDpi="1200" verticalDpi="1200" orientation="portrait"/>
</worksheet>
</file>

<file path=xl/worksheets/sheet9.xml><?xml version="1.0" encoding="utf-8"?>
<worksheet xmlns="http://schemas.openxmlformats.org/spreadsheetml/2006/main" xmlns:r="http://schemas.openxmlformats.org/officeDocument/2006/relationships">
  <dimension ref="A1:L42"/>
  <sheetViews>
    <sheetView workbookViewId="0" topLeftCell="A1">
      <selection activeCell="J7" sqref="J7:J17"/>
    </sheetView>
  </sheetViews>
  <sheetFormatPr defaultColWidth="11.00390625" defaultRowHeight="12"/>
  <cols>
    <col min="1" max="1" width="18.125" style="90" customWidth="1"/>
    <col min="2" max="2" width="12.00390625" style="90" customWidth="1"/>
    <col min="3" max="3" width="14.625" style="90" customWidth="1"/>
    <col min="4" max="5" width="8.875" style="90" customWidth="1"/>
    <col min="6" max="6" width="10.625" style="90" customWidth="1"/>
    <col min="7" max="7" width="8.875" style="90" customWidth="1"/>
    <col min="8" max="8" width="8.625" style="90" customWidth="1"/>
    <col min="9" max="9" width="8.875" style="90" customWidth="1"/>
    <col min="10" max="10" width="9.625" style="90" customWidth="1"/>
    <col min="11" max="11" width="1.875" style="90" customWidth="1"/>
    <col min="12" max="16384" width="8.875" style="90" customWidth="1"/>
  </cols>
  <sheetData>
    <row r="1" ht="12">
      <c r="A1" s="89" t="s">
        <v>117</v>
      </c>
    </row>
    <row r="2" spans="1:8" ht="12">
      <c r="A2" s="89"/>
      <c r="G2" s="91"/>
      <c r="H2" s="92"/>
    </row>
    <row r="3" spans="1:8" ht="12">
      <c r="A3" s="93"/>
      <c r="B3" s="94"/>
      <c r="G3" s="91"/>
      <c r="H3" s="95"/>
    </row>
    <row r="5" spans="1:9" ht="12">
      <c r="A5" s="96"/>
      <c r="B5" s="96"/>
      <c r="C5" s="96" t="s">
        <v>118</v>
      </c>
      <c r="D5" s="97"/>
      <c r="E5" s="98"/>
      <c r="F5" s="99" t="s">
        <v>119</v>
      </c>
      <c r="G5" s="99"/>
      <c r="H5" s="122"/>
      <c r="I5" s="121"/>
    </row>
    <row r="6" spans="1:9" ht="12" customHeight="1">
      <c r="A6" s="100"/>
      <c r="C6" s="100" t="s">
        <v>120</v>
      </c>
      <c r="D6" s="101"/>
      <c r="E6" s="102"/>
      <c r="F6" s="103" t="s">
        <v>120</v>
      </c>
      <c r="G6" s="100"/>
      <c r="H6" s="103" t="s">
        <v>32</v>
      </c>
      <c r="I6" s="100"/>
    </row>
    <row r="7" spans="1:12" ht="13.5" customHeight="1">
      <c r="A7" s="156" t="s">
        <v>33</v>
      </c>
      <c r="B7" s="154" t="s">
        <v>39</v>
      </c>
      <c r="C7" s="104" t="s">
        <v>121</v>
      </c>
      <c r="D7" s="152" t="s">
        <v>58</v>
      </c>
      <c r="E7" s="123" t="s">
        <v>134</v>
      </c>
      <c r="F7" s="105" t="s">
        <v>121</v>
      </c>
      <c r="G7" s="152" t="s">
        <v>58</v>
      </c>
      <c r="H7" s="103" t="s">
        <v>134</v>
      </c>
      <c r="I7" s="152" t="s">
        <v>58</v>
      </c>
      <c r="J7" s="166" t="s">
        <v>122</v>
      </c>
      <c r="K7" s="106"/>
      <c r="L7" s="107"/>
    </row>
    <row r="8" spans="1:12" ht="12">
      <c r="A8" s="157"/>
      <c r="B8" s="155"/>
      <c r="C8" s="125">
        <v>0.25</v>
      </c>
      <c r="D8" s="153"/>
      <c r="E8" s="126">
        <v>0.3</v>
      </c>
      <c r="F8" s="124"/>
      <c r="G8" s="153"/>
      <c r="H8" s="105" t="s">
        <v>34</v>
      </c>
      <c r="I8" s="153"/>
      <c r="J8" s="167"/>
      <c r="K8" s="106"/>
      <c r="L8" s="107"/>
    </row>
    <row r="9" spans="1:12" ht="12">
      <c r="A9" s="108">
        <v>1</v>
      </c>
      <c r="B9" s="128">
        <v>0.83</v>
      </c>
      <c r="C9" s="127">
        <f>B9</f>
        <v>0.83</v>
      </c>
      <c r="D9" s="110"/>
      <c r="E9" s="110"/>
      <c r="F9" s="110"/>
      <c r="G9" s="110"/>
      <c r="H9" s="127">
        <f>H$25+H$26*A9</f>
        <v>0.7833333333333333</v>
      </c>
      <c r="I9" s="127">
        <f>ABS(B9-H9)</f>
        <v>0.046666666666666634</v>
      </c>
      <c r="J9" s="168">
        <f>B9-H9</f>
        <v>0.046666666666666634</v>
      </c>
      <c r="K9" s="93"/>
      <c r="L9" s="111"/>
    </row>
    <row r="10" spans="1:12" ht="12">
      <c r="A10" s="108">
        <v>2</v>
      </c>
      <c r="B10" s="128">
        <v>0.78</v>
      </c>
      <c r="C10" s="127">
        <f>C$8*B9+(1-C$8)*C9</f>
        <v>0.83</v>
      </c>
      <c r="D10" s="127">
        <f aca="true" t="shared" si="0" ref="D10:D18">ABS(B10-C10)</f>
        <v>0.04999999999999993</v>
      </c>
      <c r="E10" s="127">
        <v>0</v>
      </c>
      <c r="F10" s="127">
        <f>C10+E10</f>
        <v>0.83</v>
      </c>
      <c r="G10" s="127">
        <f>ABS(B10-F10)</f>
        <v>0.04999999999999993</v>
      </c>
      <c r="H10" s="127">
        <f>H$25+H$26*A10</f>
        <v>0.7966666666666666</v>
      </c>
      <c r="I10" s="127">
        <f>ABS(B10-H10)</f>
        <v>0.016666666666666607</v>
      </c>
      <c r="J10" s="168">
        <f>B10-H10</f>
        <v>-0.016666666666666607</v>
      </c>
      <c r="K10" s="93"/>
      <c r="L10" s="107"/>
    </row>
    <row r="11" spans="1:12" ht="12">
      <c r="A11" s="108">
        <v>3</v>
      </c>
      <c r="B11" s="128">
        <v>0.75</v>
      </c>
      <c r="C11" s="127">
        <f aca="true" t="shared" si="1" ref="C11:C18">C$8*B10+(1-C$8)*C10</f>
        <v>0.8174999999999999</v>
      </c>
      <c r="D11" s="127">
        <f t="shared" si="0"/>
        <v>0.0674999999999999</v>
      </c>
      <c r="E11" s="127">
        <f>E$8*(C11-C10)+(1-E$8)*E10</f>
        <v>-0.00375000000000002</v>
      </c>
      <c r="F11" s="127">
        <f>C11+E11</f>
        <v>0.8137499999999999</v>
      </c>
      <c r="G11" s="127">
        <f>ABS(B11-F11)</f>
        <v>0.06374999999999986</v>
      </c>
      <c r="H11" s="127">
        <f>H$25+H$26*A11</f>
        <v>0.81</v>
      </c>
      <c r="I11" s="127">
        <f>ABS(B11-H11)</f>
        <v>0.06000000000000005</v>
      </c>
      <c r="J11" s="168">
        <f aca="true" t="shared" si="2" ref="J11:J17">B11-H11</f>
        <v>-0.06000000000000005</v>
      </c>
      <c r="K11" s="111"/>
      <c r="L11" s="111"/>
    </row>
    <row r="12" spans="1:10" ht="12">
      <c r="A12" s="108">
        <v>4</v>
      </c>
      <c r="B12" s="128">
        <v>0.81</v>
      </c>
      <c r="C12" s="127">
        <f t="shared" si="1"/>
        <v>0.8006249999999999</v>
      </c>
      <c r="D12" s="127">
        <f t="shared" si="0"/>
        <v>0.009375000000000133</v>
      </c>
      <c r="E12" s="127">
        <f>E$8*(C12-C11)+(1-E$8)*E11</f>
        <v>-0.007687500000000005</v>
      </c>
      <c r="F12" s="127">
        <f>C12+E12</f>
        <v>0.7929375</v>
      </c>
      <c r="G12" s="127">
        <f>ABS(B12-F12)</f>
        <v>0.01706250000000009</v>
      </c>
      <c r="H12" s="127">
        <f>H$25+H$26*A12</f>
        <v>0.8233333333333334</v>
      </c>
      <c r="I12" s="127">
        <f>ABS(B12-H12)</f>
        <v>0.013333333333333308</v>
      </c>
      <c r="J12" s="168">
        <f t="shared" si="2"/>
        <v>-0.013333333333333308</v>
      </c>
    </row>
    <row r="13" spans="1:10" ht="12">
      <c r="A13" s="108">
        <v>5</v>
      </c>
      <c r="B13" s="128">
        <v>0.86</v>
      </c>
      <c r="C13" s="127">
        <f t="shared" si="1"/>
        <v>0.8029687499999999</v>
      </c>
      <c r="D13" s="127">
        <f t="shared" si="0"/>
        <v>0.05703125000000009</v>
      </c>
      <c r="E13" s="127">
        <f>E$8*(C13-C12)+(1-E$8)*E12</f>
        <v>-0.0046781250000000095</v>
      </c>
      <c r="F13" s="127">
        <f>C13+E13</f>
        <v>0.7982906249999999</v>
      </c>
      <c r="G13" s="127">
        <f>ABS(B13-F13)</f>
        <v>0.061709375000000066</v>
      </c>
      <c r="H13" s="127">
        <f>H$25+H$26*A13</f>
        <v>0.8366666666666667</v>
      </c>
      <c r="I13" s="127">
        <f>ABS(B13-H13)</f>
        <v>0.023333333333333317</v>
      </c>
      <c r="J13" s="168">
        <f t="shared" si="2"/>
        <v>0.023333333333333317</v>
      </c>
    </row>
    <row r="14" spans="1:10" ht="12">
      <c r="A14" s="108">
        <v>6</v>
      </c>
      <c r="B14" s="128">
        <v>0.85</v>
      </c>
      <c r="C14" s="127">
        <f t="shared" si="1"/>
        <v>0.8172265624999999</v>
      </c>
      <c r="D14" s="127">
        <f t="shared" si="0"/>
        <v>0.03277343750000006</v>
      </c>
      <c r="E14" s="127">
        <f>E$8*(C14-C13)+(1-E$8)*E13</f>
        <v>0.0010026562500000005</v>
      </c>
      <c r="F14" s="127">
        <f>C14+E14</f>
        <v>0.8182292187499999</v>
      </c>
      <c r="G14" s="127">
        <f>ABS(B14-F14)</f>
        <v>0.0317707812500001</v>
      </c>
      <c r="H14" s="127">
        <f>H$25+H$26*A14</f>
        <v>0.85</v>
      </c>
      <c r="I14" s="127">
        <f>ABS(B14-H14)</f>
        <v>0</v>
      </c>
      <c r="J14" s="168">
        <f t="shared" si="2"/>
        <v>0</v>
      </c>
    </row>
    <row r="15" spans="1:10" ht="12">
      <c r="A15" s="108">
        <v>7</v>
      </c>
      <c r="B15" s="128">
        <v>0.89</v>
      </c>
      <c r="C15" s="127">
        <f t="shared" si="1"/>
        <v>0.8254199218749999</v>
      </c>
      <c r="D15" s="127">
        <f t="shared" si="0"/>
        <v>0.0645800781250001</v>
      </c>
      <c r="E15" s="127">
        <f>E$8*(C15-C14)+(1-E$8)*E14</f>
        <v>0.0031598671874999962</v>
      </c>
      <c r="F15" s="127">
        <f>C15+E15</f>
        <v>0.8285797890624998</v>
      </c>
      <c r="G15" s="127">
        <f>ABS(B15-F15)</f>
        <v>0.061420210937500164</v>
      </c>
      <c r="H15" s="127">
        <f>H$25+H$26*A15</f>
        <v>0.8633333333333334</v>
      </c>
      <c r="I15" s="127">
        <f>ABS(B15-H15)</f>
        <v>0.026666666666666616</v>
      </c>
      <c r="J15" s="168">
        <f t="shared" si="2"/>
        <v>0.026666666666666616</v>
      </c>
    </row>
    <row r="16" spans="1:10" ht="12">
      <c r="A16" s="108">
        <v>8</v>
      </c>
      <c r="B16" s="128">
        <v>0.9</v>
      </c>
      <c r="C16" s="127">
        <f t="shared" si="1"/>
        <v>0.8415649414062499</v>
      </c>
      <c r="D16" s="127">
        <f t="shared" si="0"/>
        <v>0.05843505859375009</v>
      </c>
      <c r="E16" s="127">
        <f>E$8*(C16-C15)+(1-E$8)*E15</f>
        <v>0.007055412890625005</v>
      </c>
      <c r="F16" s="127">
        <f>C16+E16</f>
        <v>0.848620354296875</v>
      </c>
      <c r="G16" s="127">
        <f>ABS(B16-F16)</f>
        <v>0.05137964570312503</v>
      </c>
      <c r="H16" s="127">
        <f>H$25+H$26*A16</f>
        <v>0.8766666666666667</v>
      </c>
      <c r="I16" s="127">
        <f>ABS(B16-H16)</f>
        <v>0.023333333333333317</v>
      </c>
      <c r="J16" s="168">
        <f t="shared" si="2"/>
        <v>0.023333333333333317</v>
      </c>
    </row>
    <row r="17" spans="1:10" ht="12">
      <c r="A17" s="108">
        <v>9</v>
      </c>
      <c r="B17" s="128">
        <v>0.86</v>
      </c>
      <c r="C17" s="127">
        <f t="shared" si="1"/>
        <v>0.8561737060546875</v>
      </c>
      <c r="D17" s="128">
        <f t="shared" si="0"/>
        <v>0.003826293945312531</v>
      </c>
      <c r="E17" s="127">
        <f>E$8*(C17-C16)+(1-E$8)*E16</f>
        <v>0.009321418417968758</v>
      </c>
      <c r="F17" s="127">
        <f>C17+E17</f>
        <v>0.8654951244726562</v>
      </c>
      <c r="G17" s="127">
        <f>ABS(B17-F17)</f>
        <v>0.00549512447265621</v>
      </c>
      <c r="H17" s="127">
        <f>H$25+H$26*A17</f>
        <v>0.89</v>
      </c>
      <c r="I17" s="127">
        <f>ABS(B17-H17)</f>
        <v>0.030000000000000027</v>
      </c>
      <c r="J17" s="168">
        <f t="shared" si="2"/>
        <v>-0.030000000000000027</v>
      </c>
    </row>
    <row r="18" spans="1:9" ht="12">
      <c r="A18" s="110">
        <v>10</v>
      </c>
      <c r="B18" s="109"/>
      <c r="C18" s="131">
        <f t="shared" si="1"/>
        <v>0.8571302795410155</v>
      </c>
      <c r="D18" s="128"/>
      <c r="E18" s="127">
        <f>E$8*(C18-C17)+(1-E$8)*E17</f>
        <v>0.006811964938476546</v>
      </c>
      <c r="F18" s="131">
        <f>C18+E18</f>
        <v>0.8639422444794921</v>
      </c>
      <c r="G18" s="127"/>
      <c r="H18" s="131">
        <f>H$25+H$26*A18</f>
        <v>0.9033333333333333</v>
      </c>
      <c r="I18" s="127"/>
    </row>
    <row r="19" spans="1:9" ht="12.75" thickBot="1">
      <c r="A19" s="112"/>
      <c r="B19" s="111"/>
      <c r="C19" s="113" t="s">
        <v>35</v>
      </c>
      <c r="D19" s="129">
        <f>SUM(D10:D17)/8</f>
        <v>0.042940139770507854</v>
      </c>
      <c r="E19" s="114"/>
      <c r="F19" s="113" t="s">
        <v>35</v>
      </c>
      <c r="G19" s="129">
        <f>SUM(G10:G17)/8</f>
        <v>0.04282345467041018</v>
      </c>
      <c r="H19" s="113" t="s">
        <v>35</v>
      </c>
      <c r="I19" s="159">
        <f>SUM(I9:I17)/9</f>
        <v>0.026666666666666655</v>
      </c>
    </row>
    <row r="20" spans="1:10" ht="12">
      <c r="A20" s="112"/>
      <c r="B20" s="111"/>
      <c r="C20" s="113" t="s">
        <v>59</v>
      </c>
      <c r="D20" s="130">
        <f>(SUM(B10:B17)-SUM(C10:C17))/8</f>
        <v>0.013565139770507884</v>
      </c>
      <c r="E20" s="114"/>
      <c r="F20" s="113" t="s">
        <v>59</v>
      </c>
      <c r="G20" s="129">
        <f>(SUM(B10:B17)-SUM(F10:F17))/8</f>
        <v>0.013012173552246153</v>
      </c>
      <c r="H20" s="158" t="s">
        <v>59</v>
      </c>
      <c r="I20" s="160">
        <f>(SUM(B9:B17)-SUM(H9:H17))/9</f>
        <v>9.868649107779169E-17</v>
      </c>
      <c r="J20" s="161">
        <f>SUM(J9:J17)</f>
        <v>-1.1102230246251565E-16</v>
      </c>
    </row>
    <row r="21" spans="1:10" ht="12">
      <c r="A21" s="112"/>
      <c r="B21" s="111"/>
      <c r="C21" s="114"/>
      <c r="D21" s="111"/>
      <c r="E21" s="114"/>
      <c r="F21" s="114"/>
      <c r="G21" s="114"/>
      <c r="H21" s="114"/>
      <c r="I21" s="162" t="s">
        <v>60</v>
      </c>
      <c r="J21" s="163"/>
    </row>
    <row r="22" spans="1:10" ht="12.75" thickBot="1">
      <c r="A22" s="112"/>
      <c r="B22" s="111"/>
      <c r="C22" s="114"/>
      <c r="D22" s="111"/>
      <c r="E22" s="114"/>
      <c r="F22" s="114"/>
      <c r="G22" s="114"/>
      <c r="H22" s="114"/>
      <c r="I22" s="164"/>
      <c r="J22" s="165"/>
    </row>
    <row r="23" spans="1:9" ht="12">
      <c r="A23" s="112"/>
      <c r="B23" s="111"/>
      <c r="C23" s="114"/>
      <c r="D23" s="111"/>
      <c r="E23" s="114"/>
      <c r="F23" s="114"/>
      <c r="G23" s="114"/>
      <c r="H23" s="114"/>
      <c r="I23" s="112"/>
    </row>
    <row r="24" spans="7:8" ht="12">
      <c r="G24" s="115" t="s">
        <v>36</v>
      </c>
      <c r="H24" s="116"/>
    </row>
    <row r="25" spans="7:8" ht="12">
      <c r="G25" s="117" t="s">
        <v>37</v>
      </c>
      <c r="H25" s="128">
        <f>INTERCEPT(B9:B17,A9:A17)</f>
        <v>0.77</v>
      </c>
    </row>
    <row r="26" spans="1:8" ht="12">
      <c r="A26" s="111"/>
      <c r="B26" s="111"/>
      <c r="G26" s="117" t="s">
        <v>38</v>
      </c>
      <c r="H26" s="128">
        <f>SLOPE(B9:B18,A9:A18)</f>
        <v>0.013333333333333334</v>
      </c>
    </row>
    <row r="27" spans="1:2" ht="12">
      <c r="A27" s="118"/>
      <c r="B27" s="118"/>
    </row>
    <row r="28" spans="1:2" ht="12">
      <c r="A28" s="119"/>
      <c r="B28" s="119"/>
    </row>
    <row r="29" spans="1:2" ht="12">
      <c r="A29" s="119"/>
      <c r="B29" s="119"/>
    </row>
    <row r="30" spans="1:2" ht="12">
      <c r="A30" s="119"/>
      <c r="B30" s="119"/>
    </row>
    <row r="31" spans="1:2" ht="12">
      <c r="A31" s="119"/>
      <c r="B31" s="119"/>
    </row>
    <row r="32" spans="1:2" ht="12">
      <c r="A32" s="119"/>
      <c r="B32" s="119"/>
    </row>
    <row r="33" spans="1:9" ht="12">
      <c r="A33" s="111"/>
      <c r="B33" s="111"/>
      <c r="C33" s="111"/>
      <c r="D33" s="111"/>
      <c r="E33" s="111"/>
      <c r="F33" s="111"/>
      <c r="G33" s="111"/>
      <c r="H33" s="111"/>
      <c r="I33" s="111"/>
    </row>
    <row r="34" spans="1:9" ht="12">
      <c r="A34" s="111"/>
      <c r="B34" s="111"/>
      <c r="C34" s="111"/>
      <c r="D34" s="111"/>
      <c r="E34" s="111"/>
      <c r="F34" s="111"/>
      <c r="G34" s="111"/>
      <c r="H34" s="111"/>
      <c r="I34" s="111"/>
    </row>
    <row r="35" spans="1:9" ht="12">
      <c r="A35" s="120"/>
      <c r="B35" s="120"/>
      <c r="C35" s="120"/>
      <c r="D35" s="120"/>
      <c r="E35" s="120"/>
      <c r="F35" s="120"/>
      <c r="G35" s="111"/>
      <c r="H35" s="111"/>
      <c r="I35" s="111"/>
    </row>
    <row r="36" spans="1:9" ht="12">
      <c r="A36" s="119"/>
      <c r="B36" s="119"/>
      <c r="C36" s="119"/>
      <c r="D36" s="119"/>
      <c r="E36" s="119"/>
      <c r="F36" s="119"/>
      <c r="G36" s="111"/>
      <c r="H36" s="111"/>
      <c r="I36" s="111"/>
    </row>
    <row r="37" spans="1:9" ht="12">
      <c r="A37" s="119"/>
      <c r="B37" s="119"/>
      <c r="C37" s="119"/>
      <c r="D37" s="119"/>
      <c r="E37" s="119"/>
      <c r="F37" s="119"/>
      <c r="G37" s="111"/>
      <c r="H37" s="111"/>
      <c r="I37" s="111"/>
    </row>
    <row r="38" spans="1:9" ht="12">
      <c r="A38" s="119"/>
      <c r="B38" s="119"/>
      <c r="C38" s="119"/>
      <c r="D38" s="119"/>
      <c r="E38" s="119"/>
      <c r="F38" s="119"/>
      <c r="G38" s="111"/>
      <c r="H38" s="111"/>
      <c r="I38" s="111"/>
    </row>
    <row r="39" spans="1:9" ht="12">
      <c r="A39" s="111"/>
      <c r="B39" s="111"/>
      <c r="C39" s="111"/>
      <c r="D39" s="111"/>
      <c r="E39" s="111"/>
      <c r="F39" s="111"/>
      <c r="G39" s="111"/>
      <c r="H39" s="111"/>
      <c r="I39" s="111"/>
    </row>
    <row r="40" spans="1:9" ht="12">
      <c r="A40" s="120"/>
      <c r="B40" s="120"/>
      <c r="C40" s="120"/>
      <c r="D40" s="120"/>
      <c r="E40" s="120"/>
      <c r="F40" s="120"/>
      <c r="G40" s="120"/>
      <c r="H40" s="120"/>
      <c r="I40" s="120"/>
    </row>
    <row r="41" spans="1:9" ht="12">
      <c r="A41" s="119"/>
      <c r="B41" s="119"/>
      <c r="C41" s="119"/>
      <c r="D41" s="119"/>
      <c r="E41" s="119"/>
      <c r="F41" s="119"/>
      <c r="G41" s="119"/>
      <c r="H41" s="119"/>
      <c r="I41" s="119"/>
    </row>
    <row r="42" spans="1:9" ht="12">
      <c r="A42" s="119"/>
      <c r="B42" s="119"/>
      <c r="C42" s="119"/>
      <c r="D42" s="119"/>
      <c r="E42" s="119"/>
      <c r="F42" s="119"/>
      <c r="G42" s="119"/>
      <c r="H42" s="119"/>
      <c r="I42" s="119"/>
    </row>
  </sheetData>
  <mergeCells count="7">
    <mergeCell ref="J7:J8"/>
    <mergeCell ref="I21:J22"/>
    <mergeCell ref="G7:G8"/>
    <mergeCell ref="I7:I8"/>
    <mergeCell ref="B7:B8"/>
    <mergeCell ref="A7:A8"/>
    <mergeCell ref="D7:D8"/>
  </mergeCells>
  <printOptions/>
  <pageMargins left="0.75" right="0.75" top="1" bottom="1" header="0.5" footer="0.5"/>
  <pageSetup horizontalDpi="1200" verticalDpi="12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Howard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Tristan Hubsch</dc:creator>
  <cp:keywords/>
  <dc:description/>
  <cp:lastModifiedBy>Tristan Hubsch</cp:lastModifiedBy>
  <dcterms:created xsi:type="dcterms:W3CDTF">2005-10-29T08:22:08Z</dcterms:created>
  <dcterms:modified xsi:type="dcterms:W3CDTF">2006-02-09T00:52:01Z</dcterms:modified>
  <cp:category/>
  <cp:version/>
  <cp:contentType/>
  <cp:contentStatus/>
</cp:coreProperties>
</file>